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updateLinks="never" codeName="ThisWorkbook"/>
  <mc:AlternateContent xmlns:mc="http://schemas.openxmlformats.org/markup-compatibility/2006">
    <mc:Choice Requires="x15">
      <x15ac:absPath xmlns:x15ac="http://schemas.microsoft.com/office/spreadsheetml/2010/11/ac" url="https://d.docs.live.net/d38ded36968052af/My documents/File cabinet/Raphy_ Sterling Wood Board/Reserve study/"/>
    </mc:Choice>
  </mc:AlternateContent>
  <xr:revisionPtr revIDLastSave="20" documentId="13_ncr:1_{F7CFFF8C-4C8C-42DD-8AC3-26D3A0F281BB}" xr6:coauthVersionLast="47" xr6:coauthVersionMax="47" xr10:uidLastSave="{5312635E-88E7-47D8-BF1D-42ECF60A5CFD}"/>
  <bookViews>
    <workbookView xWindow="-120" yWindow="-120" windowWidth="23280" windowHeight="14880" activeTab="2" xr2:uid="{00000000-000D-0000-FFFF-FFFF00000000}"/>
  </bookViews>
  <sheets>
    <sheet name="Property Info" sheetId="2" r:id="rId1"/>
    <sheet name="Use Instructions" sheetId="5" r:id="rId2"/>
    <sheet name="Expenditures" sheetId="14" r:id="rId3"/>
    <sheet name="Funding Plan" sheetId="13" r:id="rId4"/>
  </sheets>
  <definedNames>
    <definedName name="Beginning_Reserve_Balance_Date">'Property Info'!$B$15</definedName>
    <definedName name="City_State" localSheetId="2">Expenditures!$N$6</definedName>
    <definedName name="City_State" localSheetId="3">'Funding Plan'!$C$6</definedName>
    <definedName name="Client_City">'Property Info'!$B$3</definedName>
    <definedName name="Client_Long">'Property Info'!$B$2</definedName>
    <definedName name="Client_State">'Property Info'!$B$4</definedName>
    <definedName name="contributions_year0" localSheetId="3">'Funding Plan'!$E$8</definedName>
    <definedName name="contributions_year1" localSheetId="3">'Funding Plan'!$F$8</definedName>
    <definedName name="contributions_year10" localSheetId="3">'Funding Plan'!$O$8</definedName>
    <definedName name="contributions_year11" localSheetId="3">'Funding Plan'!$P$8</definedName>
    <definedName name="contributions_year12" localSheetId="3">'Funding Plan'!$Q$8</definedName>
    <definedName name="contributions_year13" localSheetId="3">'Funding Plan'!$R$8</definedName>
    <definedName name="contributions_year14" localSheetId="3">'Funding Plan'!$S$8</definedName>
    <definedName name="contributions_year15" localSheetId="3">'Funding Plan'!$T$8</definedName>
    <definedName name="contributions_year16" localSheetId="3">'Funding Plan'!$F$29</definedName>
    <definedName name="contributions_year17" localSheetId="3">'Funding Plan'!$G$29</definedName>
    <definedName name="contributions_year18" localSheetId="3">'Funding Plan'!$H$29</definedName>
    <definedName name="contributions_year19" localSheetId="3">'Funding Plan'!$I$29</definedName>
    <definedName name="contributions_year2" localSheetId="3">'Funding Plan'!$G$8</definedName>
    <definedName name="contributions_year20" localSheetId="3">'Funding Plan'!$J$29</definedName>
    <definedName name="contributions_year21" localSheetId="3">'Funding Plan'!$K$29</definedName>
    <definedName name="contributions_year22" localSheetId="3">'Funding Plan'!$L$29</definedName>
    <definedName name="contributions_year23" localSheetId="3">'Funding Plan'!$M$29</definedName>
    <definedName name="contributions_year24" localSheetId="3">'Funding Plan'!$N$29</definedName>
    <definedName name="contributions_year25" localSheetId="3">'Funding Plan'!$O$29</definedName>
    <definedName name="contributions_year26" localSheetId="3">'Funding Plan'!$P$29</definedName>
    <definedName name="contributions_year27" localSheetId="3">'Funding Plan'!$Q$29</definedName>
    <definedName name="contributions_year28" localSheetId="3">'Funding Plan'!$R$29</definedName>
    <definedName name="contributions_year29" localSheetId="3">'Funding Plan'!$S$29</definedName>
    <definedName name="contributions_year3" localSheetId="3">'Funding Plan'!$H$8</definedName>
    <definedName name="contributions_year30" localSheetId="3">'Funding Plan'!$T$29</definedName>
    <definedName name="contributions_year4" localSheetId="3">'Funding Plan'!$I$8</definedName>
    <definedName name="contributions_year5" localSheetId="3">'Funding Plan'!$J$8</definedName>
    <definedName name="contributions_year6" localSheetId="3">'Funding Plan'!$K$8</definedName>
    <definedName name="contributions_year7" localSheetId="3">'Funding Plan'!$L$8</definedName>
    <definedName name="contributions_year8" localSheetId="3">'Funding Plan'!$M$8</definedName>
    <definedName name="contributions_year9" localSheetId="3">'Funding Plan'!$N$8</definedName>
    <definedName name="Currency_Symbol">'Property Info'!$B$22</definedName>
    <definedName name="Current_Fiscal_Year">'Property Info'!$B$10</definedName>
    <definedName name="Date_of_Inspection">'Property Info'!$B$9</definedName>
    <definedName name="expenditures0" localSheetId="2">Expenditures!$X$43</definedName>
    <definedName name="expenditures0">#REF!</definedName>
    <definedName name="expenditures1" localSheetId="2">Expenditures!$Y$43</definedName>
    <definedName name="expenditures1">#REF!</definedName>
    <definedName name="expenditures10" localSheetId="2">Expenditures!$AH$43</definedName>
    <definedName name="expenditures10">#REF!</definedName>
    <definedName name="expenditures11" localSheetId="2">Expenditures!$AI$43</definedName>
    <definedName name="expenditures11">#REF!</definedName>
    <definedName name="expenditures12" localSheetId="2">Expenditures!$AJ$43</definedName>
    <definedName name="expenditures12">#REF!</definedName>
    <definedName name="expenditures13" localSheetId="2">Expenditures!$AK$43</definedName>
    <definedName name="expenditures13">#REF!</definedName>
    <definedName name="expenditures14" localSheetId="2">Expenditures!$AL$43</definedName>
    <definedName name="expenditures14">#REF!</definedName>
    <definedName name="expenditures15" localSheetId="2">Expenditures!$AM$43</definedName>
    <definedName name="expenditures15">#REF!</definedName>
    <definedName name="expenditures16" localSheetId="2">Expenditures!$AN$43</definedName>
    <definedName name="expenditures16">#REF!</definedName>
    <definedName name="expenditures17" localSheetId="2">Expenditures!$AO$43</definedName>
    <definedName name="expenditures17">#REF!</definedName>
    <definedName name="expenditures18" localSheetId="2">Expenditures!$AP$43</definedName>
    <definedName name="expenditures18">#REF!</definedName>
    <definedName name="expenditures19" localSheetId="2">Expenditures!$AQ$43</definedName>
    <definedName name="expenditures19">#REF!</definedName>
    <definedName name="expenditures2" localSheetId="2">Expenditures!$Z$43</definedName>
    <definedName name="expenditures2">#REF!</definedName>
    <definedName name="expenditures20" localSheetId="2">Expenditures!$AR$43</definedName>
    <definedName name="expenditures20">#REF!</definedName>
    <definedName name="expenditures21" localSheetId="2">Expenditures!$AS$43</definedName>
    <definedName name="expenditures21">#REF!</definedName>
    <definedName name="expenditures22" localSheetId="2">Expenditures!$AT$43</definedName>
    <definedName name="expenditures22">#REF!</definedName>
    <definedName name="expenditures23" localSheetId="2">Expenditures!$AU$43</definedName>
    <definedName name="expenditures23">#REF!</definedName>
    <definedName name="expenditures24" localSheetId="2">Expenditures!$AV$43</definedName>
    <definedName name="expenditures24">#REF!</definedName>
    <definedName name="expenditures25" localSheetId="2">Expenditures!$AW$43</definedName>
    <definedName name="expenditures25">#REF!</definedName>
    <definedName name="expenditures26" localSheetId="2">Expenditures!$AX$43</definedName>
    <definedName name="expenditures26">#REF!</definedName>
    <definedName name="expenditures27" localSheetId="2">Expenditures!$AY$43</definedName>
    <definedName name="expenditures27">#REF!</definedName>
    <definedName name="expenditures28" localSheetId="2">Expenditures!$AZ$43</definedName>
    <definedName name="expenditures28">#REF!</definedName>
    <definedName name="expenditures29" localSheetId="2">Expenditures!$BA$43</definedName>
    <definedName name="expenditures29">#REF!</definedName>
    <definedName name="expenditures3" localSheetId="2">Expenditures!$AA$43</definedName>
    <definedName name="expenditures3">#REF!</definedName>
    <definedName name="expenditures30" localSheetId="2">Expenditures!$BB$43</definedName>
    <definedName name="expenditures30">#REF!</definedName>
    <definedName name="expenditures4" localSheetId="2">Expenditures!$AB$43</definedName>
    <definedName name="expenditures4">#REF!</definedName>
    <definedName name="expenditures5" localSheetId="2">Expenditures!$AC$43</definedName>
    <definedName name="expenditures5">#REF!</definedName>
    <definedName name="expenditures6" localSheetId="2">Expenditures!$AD$43</definedName>
    <definedName name="expenditures6">#REF!</definedName>
    <definedName name="expenditures7" localSheetId="2">Expenditures!$AE$43</definedName>
    <definedName name="expenditures7">#REF!</definedName>
    <definedName name="expenditures8" localSheetId="2">Expenditures!$AF$43</definedName>
    <definedName name="expenditures8">#REF!</definedName>
    <definedName name="expenditures9" localSheetId="2">Expenditures!$AG$43</definedName>
    <definedName name="expenditures9">#REF!</definedName>
    <definedName name="First_Year_of_Recommendation">'Property Info'!$B$12</definedName>
    <definedName name="Fiscal_Year_Beginning">'Property Info'!$B$11</definedName>
    <definedName name="flatlineAmount" localSheetId="3">'Funding Plan'!$N$21</definedName>
    <definedName name="flatlineAmount2" localSheetId="3">'Funding Plan'!$P$21</definedName>
    <definedName name="Frequency_of_Contributions_Number">'Property Info'!$B$21</definedName>
    <definedName name="Funding_Balance" localSheetId="3">'Funding Plan'!$Y$54</definedName>
    <definedName name="Funding_Current_Contributions" localSheetId="3">'Funding Plan'!$Y$57</definedName>
    <definedName name="Funding_DecreaseAmount" localSheetId="3">'Funding Plan'!$R$21</definedName>
    <definedName name="Funding_DecreaseAmount2" localSheetId="3">'Funding Plan'!$T$21</definedName>
    <definedName name="Funding_DecreaseYear" localSheetId="3">'Funding Plan'!$R$22</definedName>
    <definedName name="Funding_FlatBegin" localSheetId="3">'Funding Plan'!$N$22</definedName>
    <definedName name="Funding_FlatBegin2" localSheetId="3">'Funding Plan'!$P$22</definedName>
    <definedName name="Funding_FlatEnd" localSheetId="3">'Funding Plan'!$N$23</definedName>
    <definedName name="Funding_FlatEnd2" localSheetId="3">'Funding Plan'!$P$23</definedName>
    <definedName name="Funding_InitialFunding" localSheetId="3">'Funding Plan'!$J$21</definedName>
    <definedName name="Funding_Next_Contribitions" localSheetId="3">'Funding Plan'!$Y$58</definedName>
    <definedName name="Funding_PhasedAmount" localSheetId="3">'Funding Plan'!$L$21</definedName>
    <definedName name="Funding_PhaseNumbers" localSheetId="3">'Funding Plan'!$L$22</definedName>
    <definedName name="FundingDecreaseYear2" localSheetId="3">'Funding Plan'!$T$22</definedName>
    <definedName name="Inflation">'Property Info'!$B$19</definedName>
    <definedName name="Interest">'Property Info'!$B$20</definedName>
    <definedName name="Name1" localSheetId="2">Expenditures!$N$4</definedName>
    <definedName name="Name1" localSheetId="3">'Funding Plan'!$C$4</definedName>
    <definedName name="Name2" localSheetId="2">Expenditures!$N$5</definedName>
    <definedName name="Name2" localSheetId="3">'Funding Plan'!$C$5</definedName>
    <definedName name="Number_of_Buildings">'Property Info'!$B$8</definedName>
    <definedName name="Number_of_Units">'Property Info'!$B$7</definedName>
    <definedName name="Operating_Budget">'Property Info'!$B$24</definedName>
    <definedName name="_xlnm.Print_Area" localSheetId="1">'Use Instructions'!$A$7:$C$23</definedName>
    <definedName name="Property_Type">'Property Info'!$B$25</definedName>
    <definedName name="Reference_Number">'Property Info'!$B$5</definedName>
    <definedName name="Remaining_Budgeted_Months">'Property Info'!$B$13</definedName>
    <definedName name="Remaining_Interest_Months">'Property Info'!$B$14</definedName>
    <definedName name="Reserve_Balance_Projected?">'Property Info'!$B$16</definedName>
    <definedName name="rngBlank" localSheetId="2">Expenditures!$A$2029:$BB$2029</definedName>
    <definedName name="rngComponent" localSheetId="2">Expenditures!$A$2030:$BB$2030</definedName>
    <definedName name="Rounded_by">'Property Info'!$B$23</definedName>
    <definedName name="secondaryInflation">'Property Info'!$B$17</definedName>
    <definedName name="secondaryInflationYear">'Property Info'!$B$18</definedName>
    <definedName name="SheetName" localSheetId="2">Expenditures!$N$1</definedName>
    <definedName name="SheetName" localSheetId="3">'Funding Plan'!$C$2</definedName>
    <definedName name="Study_Length">'Property Info'!$B$6</definedName>
    <definedName name="Total_Study_Expenditures" localSheetId="2">Expenditures!$V$43</definedName>
    <definedName name="Total_Study_Expenditures">#REF!</definedName>
    <definedName name="version">'Property Info'!$B$1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1" i="14" l="1"/>
  <c r="L41" i="14"/>
  <c r="T41" i="14" s="1"/>
  <c r="D41" i="14"/>
  <c r="U40" i="14"/>
  <c r="L40" i="14"/>
  <c r="T40" i="14" s="1"/>
  <c r="D40" i="14"/>
  <c r="U39" i="14"/>
  <c r="L39" i="14"/>
  <c r="T39" i="14" s="1"/>
  <c r="D39" i="14"/>
  <c r="U38" i="14"/>
  <c r="L38" i="14"/>
  <c r="T38" i="14" s="1"/>
  <c r="D38" i="14"/>
  <c r="U37" i="14"/>
  <c r="L37" i="14"/>
  <c r="T37" i="14" s="1"/>
  <c r="D37" i="14"/>
  <c r="U36" i="14"/>
  <c r="L36" i="14"/>
  <c r="T36" i="14" s="1"/>
  <c r="D36" i="14"/>
  <c r="U35" i="14"/>
  <c r="L35" i="14"/>
  <c r="T35" i="14" s="1"/>
  <c r="D35" i="14"/>
  <c r="U34" i="14"/>
  <c r="L34" i="14"/>
  <c r="T34" i="14" s="1"/>
  <c r="D34" i="14"/>
  <c r="U33" i="14"/>
  <c r="L33" i="14"/>
  <c r="T33" i="14" s="1"/>
  <c r="D33" i="14"/>
  <c r="U32" i="14"/>
  <c r="L32" i="14"/>
  <c r="T32" i="14" s="1"/>
  <c r="D32" i="14"/>
  <c r="U31" i="14"/>
  <c r="L31" i="14"/>
  <c r="T31" i="14" s="1"/>
  <c r="D31" i="14"/>
  <c r="U30" i="14"/>
  <c r="L30" i="14"/>
  <c r="T30" i="14" s="1"/>
  <c r="D30" i="14"/>
  <c r="U29" i="14"/>
  <c r="L29" i="14"/>
  <c r="T29" i="14" s="1"/>
  <c r="D29" i="14"/>
  <c r="U28" i="14"/>
  <c r="L28" i="14"/>
  <c r="T28" i="14" s="1"/>
  <c r="D28" i="14"/>
  <c r="U27" i="14"/>
  <c r="L27" i="14"/>
  <c r="T27" i="14" s="1"/>
  <c r="D27" i="14"/>
  <c r="U26" i="14"/>
  <c r="L26" i="14"/>
  <c r="T26" i="14" s="1"/>
  <c r="D26" i="14"/>
  <c r="U25" i="14"/>
  <c r="L25" i="14"/>
  <c r="T25" i="14" s="1"/>
  <c r="D25" i="14"/>
  <c r="U24" i="14"/>
  <c r="L24" i="14"/>
  <c r="T24" i="14" s="1"/>
  <c r="D24" i="14"/>
  <c r="U23" i="14"/>
  <c r="L23" i="14"/>
  <c r="T23" i="14" s="1"/>
  <c r="D23" i="14"/>
  <c r="U22" i="14"/>
  <c r="L22" i="14"/>
  <c r="T22" i="14" s="1"/>
  <c r="D22" i="14"/>
  <c r="U19" i="14"/>
  <c r="L19" i="14"/>
  <c r="T19" i="14" s="1"/>
  <c r="D19" i="14"/>
  <c r="U16" i="14"/>
  <c r="L16" i="14"/>
  <c r="T16" i="14" s="1"/>
  <c r="D16" i="14"/>
  <c r="U15" i="14"/>
  <c r="L15" i="14"/>
  <c r="T15" i="14" s="1"/>
  <c r="D15" i="14"/>
  <c r="U14" i="14"/>
  <c r="L14" i="14"/>
  <c r="T14" i="14" s="1"/>
  <c r="D14" i="14"/>
  <c r="U13" i="14"/>
  <c r="L13" i="14"/>
  <c r="T13" i="14" s="1"/>
  <c r="D13" i="14"/>
  <c r="A13" i="14"/>
  <c r="A16" i="14" s="1"/>
  <c r="A19" i="14" s="1"/>
  <c r="A22" i="14" s="1"/>
  <c r="A25" i="14" s="1"/>
  <c r="A28" i="14" s="1"/>
  <c r="A31" i="14" s="1"/>
  <c r="A34" i="14" s="1"/>
  <c r="A37" i="14" s="1"/>
  <c r="A40" i="14" s="1"/>
  <c r="U12" i="14"/>
  <c r="L12" i="14"/>
  <c r="T12" i="14" s="1"/>
  <c r="D12" i="14"/>
  <c r="A12" i="14"/>
  <c r="A15" i="14" s="1"/>
  <c r="A18" i="14" s="1"/>
  <c r="A21" i="14" s="1"/>
  <c r="A24" i="14" s="1"/>
  <c r="A27" i="14" s="1"/>
  <c r="A30" i="14" s="1"/>
  <c r="A33" i="14" s="1"/>
  <c r="A36" i="14" s="1"/>
  <c r="A39" i="14" s="1"/>
  <c r="A11" i="14"/>
  <c r="A14" i="14" s="1"/>
  <c r="A17" i="14" s="1"/>
  <c r="A20" i="14" s="1"/>
  <c r="A23" i="14" s="1"/>
  <c r="A26" i="14" s="1"/>
  <c r="A29" i="14" s="1"/>
  <c r="A32" i="14" s="1"/>
  <c r="A35" i="14" s="1"/>
  <c r="A38" i="14" s="1"/>
  <c r="A41" i="14" s="1"/>
  <c r="U2030" i="14"/>
  <c r="L2030" i="14"/>
  <c r="T2030" i="14" s="1"/>
  <c r="D2030" i="14"/>
  <c r="A2030" i="14"/>
  <c r="A2029" i="14"/>
  <c r="X9" i="14"/>
  <c r="Y9" i="14" s="1"/>
  <c r="Y25" i="14" s="1"/>
  <c r="U9" i="14"/>
  <c r="T9" i="14"/>
  <c r="R9" i="14"/>
  <c r="Y5" i="14"/>
  <c r="Z2" i="14"/>
  <c r="Y2" i="14"/>
  <c r="D1002" i="13"/>
  <c r="E1002" i="13"/>
  <c r="F1002" i="13"/>
  <c r="G1002" i="13"/>
  <c r="H1002" i="13"/>
  <c r="I1002" i="13"/>
  <c r="J1002" i="13"/>
  <c r="K1002" i="13"/>
  <c r="L1002" i="13"/>
  <c r="M1002" i="13"/>
  <c r="N1002" i="13"/>
  <c r="O1002" i="13"/>
  <c r="P1002" i="13"/>
  <c r="Q1002" i="13"/>
  <c r="R1002" i="13"/>
  <c r="S1002" i="13"/>
  <c r="T1002" i="13"/>
  <c r="U1002" i="13"/>
  <c r="V1002" i="13"/>
  <c r="W1002" i="13"/>
  <c r="X1002" i="13"/>
  <c r="Y1002" i="13"/>
  <c r="Z1002" i="13"/>
  <c r="AA1002" i="13"/>
  <c r="AB1002" i="13"/>
  <c r="AC1002" i="13"/>
  <c r="AD1002" i="13"/>
  <c r="AE1002" i="13"/>
  <c r="AF1002" i="13"/>
  <c r="AG1002" i="13"/>
  <c r="AH1002" i="13"/>
  <c r="AH995" i="13"/>
  <c r="AG995" i="13"/>
  <c r="AF995" i="13"/>
  <c r="AE995" i="13"/>
  <c r="AD995" i="13"/>
  <c r="AC995" i="13"/>
  <c r="AB995" i="13"/>
  <c r="AA995" i="13"/>
  <c r="Z995" i="13"/>
  <c r="Y995" i="13"/>
  <c r="X995" i="13"/>
  <c r="W995" i="13"/>
  <c r="V995" i="13"/>
  <c r="U995" i="13"/>
  <c r="T995" i="13"/>
  <c r="S995" i="13"/>
  <c r="R995" i="13"/>
  <c r="Q995" i="13"/>
  <c r="P995" i="13"/>
  <c r="O995" i="13"/>
  <c r="N995" i="13"/>
  <c r="M995" i="13"/>
  <c r="L995" i="13"/>
  <c r="K995" i="13"/>
  <c r="J995" i="13"/>
  <c r="I995" i="13"/>
  <c r="H995" i="13"/>
  <c r="G995" i="13"/>
  <c r="F995" i="13"/>
  <c r="E995" i="13"/>
  <c r="D995" i="13"/>
  <c r="AH994" i="13"/>
  <c r="AG994" i="13"/>
  <c r="AF994" i="13"/>
  <c r="AE994" i="13"/>
  <c r="AD994" i="13"/>
  <c r="AC994" i="13"/>
  <c r="AB994" i="13"/>
  <c r="AA994" i="13"/>
  <c r="Z994" i="13"/>
  <c r="Y994" i="13"/>
  <c r="X994" i="13"/>
  <c r="W994" i="13"/>
  <c r="V994" i="13"/>
  <c r="U994" i="13"/>
  <c r="T994" i="13"/>
  <c r="S994" i="13"/>
  <c r="R994" i="13"/>
  <c r="Q994" i="13"/>
  <c r="P994" i="13"/>
  <c r="O994" i="13"/>
  <c r="N994" i="13"/>
  <c r="M994" i="13"/>
  <c r="L994" i="13"/>
  <c r="K994" i="13"/>
  <c r="J994" i="13"/>
  <c r="I994" i="13"/>
  <c r="H994" i="13"/>
  <c r="G994" i="13"/>
  <c r="F994" i="13"/>
  <c r="E994" i="13"/>
  <c r="D994" i="13"/>
  <c r="D993" i="13"/>
  <c r="H992" i="13"/>
  <c r="I992" i="13" s="1"/>
  <c r="J992" i="13" s="1"/>
  <c r="K992" i="13" s="1"/>
  <c r="L992" i="13" s="1"/>
  <c r="M992" i="13" s="1"/>
  <c r="N992" i="13" s="1"/>
  <c r="O992" i="13" s="1"/>
  <c r="P992" i="13" s="1"/>
  <c r="Q992" i="13" s="1"/>
  <c r="R992" i="13" s="1"/>
  <c r="S992" i="13" s="1"/>
  <c r="T992" i="13" s="1"/>
  <c r="U992" i="13" s="1"/>
  <c r="V992" i="13" s="1"/>
  <c r="W992" i="13" s="1"/>
  <c r="X992" i="13" s="1"/>
  <c r="Y992" i="13" s="1"/>
  <c r="Z992" i="13" s="1"/>
  <c r="AA992" i="13" s="1"/>
  <c r="AB992" i="13" s="1"/>
  <c r="AC992" i="13" s="1"/>
  <c r="AD992" i="13" s="1"/>
  <c r="AE992" i="13" s="1"/>
  <c r="AF992" i="13" s="1"/>
  <c r="AG992" i="13" s="1"/>
  <c r="AH992" i="13" s="1"/>
  <c r="G992" i="13"/>
  <c r="D992" i="13"/>
  <c r="E992" i="13" s="1"/>
  <c r="F992" i="13" s="1"/>
  <c r="K65" i="13"/>
  <c r="K67" i="13" s="1"/>
  <c r="K69" i="13" s="1"/>
  <c r="K71" i="13" s="1"/>
  <c r="K73" i="13" s="1"/>
  <c r="K75" i="13" s="1"/>
  <c r="Y62" i="13"/>
  <c r="Y61" i="13"/>
  <c r="Y60" i="13"/>
  <c r="Y59" i="13"/>
  <c r="K59" i="13"/>
  <c r="K61" i="13" s="1"/>
  <c r="K63" i="13" s="1"/>
  <c r="N57" i="13"/>
  <c r="K57" i="13"/>
  <c r="Y56" i="13"/>
  <c r="Y55" i="13"/>
  <c r="Y53" i="13"/>
  <c r="Y52" i="13"/>
  <c r="C46" i="13"/>
  <c r="B46" i="13"/>
  <c r="B45" i="13"/>
  <c r="T33" i="13"/>
  <c r="S33" i="13"/>
  <c r="R33" i="13"/>
  <c r="Q33" i="13"/>
  <c r="P33" i="13"/>
  <c r="O33" i="13"/>
  <c r="N33" i="13"/>
  <c r="M33" i="13"/>
  <c r="L33" i="13"/>
  <c r="K33" i="13"/>
  <c r="J33" i="13"/>
  <c r="I33" i="13"/>
  <c r="H33" i="13"/>
  <c r="G33" i="13"/>
  <c r="F33" i="13"/>
  <c r="T12" i="13"/>
  <c r="S12" i="13"/>
  <c r="R12" i="13"/>
  <c r="Q12" i="13"/>
  <c r="P12" i="13"/>
  <c r="O12" i="13"/>
  <c r="N12" i="13"/>
  <c r="M12" i="13"/>
  <c r="L12" i="13"/>
  <c r="K12" i="13"/>
  <c r="J12" i="13"/>
  <c r="I12" i="13"/>
  <c r="H12" i="13"/>
  <c r="G12" i="13"/>
  <c r="F12" i="13"/>
  <c r="E12" i="13"/>
  <c r="F8" i="13"/>
  <c r="E993" i="13" s="1"/>
  <c r="E8" i="13"/>
  <c r="E11" i="13" s="1"/>
  <c r="E7" i="13"/>
  <c r="F6" i="13"/>
  <c r="G6" i="13" s="1"/>
  <c r="E6" i="13"/>
  <c r="Y41" i="14" l="1"/>
  <c r="Y40" i="14"/>
  <c r="X41" i="14"/>
  <c r="X40" i="14"/>
  <c r="X39" i="14"/>
  <c r="Y39" i="14"/>
  <c r="Y38" i="14"/>
  <c r="X38" i="14"/>
  <c r="Y36" i="14"/>
  <c r="X37" i="14"/>
  <c r="X36" i="14"/>
  <c r="Y37" i="14"/>
  <c r="Y35" i="14"/>
  <c r="X35" i="14"/>
  <c r="X34" i="14"/>
  <c r="Y34" i="14"/>
  <c r="X32" i="14"/>
  <c r="X33" i="14"/>
  <c r="Y32" i="14"/>
  <c r="Y33" i="14"/>
  <c r="Y31" i="14"/>
  <c r="X31" i="14"/>
  <c r="Y30" i="14"/>
  <c r="X30" i="14"/>
  <c r="X29" i="14"/>
  <c r="Y29" i="14"/>
  <c r="X28" i="14"/>
  <c r="Y28" i="14"/>
  <c r="X27" i="14"/>
  <c r="Y27" i="14"/>
  <c r="X26" i="14"/>
  <c r="Y26" i="14"/>
  <c r="X16" i="14"/>
  <c r="X25" i="14"/>
  <c r="X24" i="14"/>
  <c r="Y24" i="14"/>
  <c r="X23" i="14"/>
  <c r="Y16" i="14"/>
  <c r="Y23" i="14"/>
  <c r="X22" i="14"/>
  <c r="Y19" i="14"/>
  <c r="X19" i="14"/>
  <c r="Y12" i="14"/>
  <c r="X15" i="14"/>
  <c r="Y15" i="14"/>
  <c r="X14" i="14"/>
  <c r="Y14" i="14"/>
  <c r="X7" i="14"/>
  <c r="X13" i="14"/>
  <c r="X12" i="14"/>
  <c r="Y13" i="14"/>
  <c r="X2030" i="14"/>
  <c r="H6" i="13"/>
  <c r="G8" i="13"/>
  <c r="F11" i="13"/>
  <c r="L57" i="13" s="1"/>
  <c r="Z9" i="14"/>
  <c r="Z41" i="14" s="1"/>
  <c r="Y2030" i="14"/>
  <c r="Y7" i="14"/>
  <c r="Y22" i="14" s="1"/>
  <c r="Q57" i="13"/>
  <c r="Q59" i="13" s="1"/>
  <c r="Q61" i="13" s="1"/>
  <c r="Q63" i="13" s="1"/>
  <c r="Q65" i="13" s="1"/>
  <c r="Q67" i="13" s="1"/>
  <c r="Q69" i="13" s="1"/>
  <c r="Q71" i="13" s="1"/>
  <c r="Q73" i="13" s="1"/>
  <c r="Q75" i="13" s="1"/>
  <c r="N59" i="13"/>
  <c r="N61" i="13" s="1"/>
  <c r="N63" i="13" s="1"/>
  <c r="N65" i="13" s="1"/>
  <c r="N67" i="13" s="1"/>
  <c r="N69" i="13" s="1"/>
  <c r="N71" i="13" s="1"/>
  <c r="N73" i="13" s="1"/>
  <c r="N75" i="13" s="1"/>
  <c r="Z39" i="14" l="1"/>
  <c r="Z40" i="14"/>
  <c r="Z36" i="14"/>
  <c r="Z37" i="14"/>
  <c r="Z34" i="14"/>
  <c r="Z35" i="14"/>
  <c r="Z33" i="14"/>
  <c r="Z31" i="14"/>
  <c r="Z28" i="14"/>
  <c r="Z29" i="14"/>
  <c r="Z26" i="14"/>
  <c r="Z27" i="14"/>
  <c r="Z24" i="14"/>
  <c r="Z25" i="14"/>
  <c r="Z22" i="14"/>
  <c r="Z23" i="14"/>
  <c r="Y43" i="14"/>
  <c r="Z16" i="14"/>
  <c r="Z14" i="14"/>
  <c r="X43" i="14"/>
  <c r="H8" i="13"/>
  <c r="I6" i="13"/>
  <c r="Z12" i="14"/>
  <c r="Z2030" i="14"/>
  <c r="Z7" i="14"/>
  <c r="Z13" i="14" s="1"/>
  <c r="AA9" i="14"/>
  <c r="AA41" i="14" s="1"/>
  <c r="F993" i="13"/>
  <c r="G11" i="13"/>
  <c r="L59" i="13" s="1"/>
  <c r="E1001" i="13"/>
  <c r="D1001" i="13"/>
  <c r="AA39" i="14" l="1"/>
  <c r="AA40" i="14"/>
  <c r="AA37" i="14"/>
  <c r="AA38" i="14"/>
  <c r="Z38" i="14"/>
  <c r="AA34" i="14"/>
  <c r="AA35" i="14"/>
  <c r="AA32" i="14"/>
  <c r="AA33" i="14"/>
  <c r="Z32" i="14"/>
  <c r="AA30" i="14"/>
  <c r="AA31" i="14"/>
  <c r="Z30" i="14"/>
  <c r="AA28" i="14"/>
  <c r="AA29" i="14"/>
  <c r="AA26" i="14"/>
  <c r="AA27" i="14"/>
  <c r="AA24" i="14"/>
  <c r="AA25" i="14"/>
  <c r="AA22" i="14"/>
  <c r="AA23" i="14"/>
  <c r="E1003" i="13"/>
  <c r="F14" i="13" s="1"/>
  <c r="AA16" i="14"/>
  <c r="Z19" i="14"/>
  <c r="Z15" i="14"/>
  <c r="AA14" i="14"/>
  <c r="D1003" i="13"/>
  <c r="AA12" i="14"/>
  <c r="AB9" i="14"/>
  <c r="AA7" i="14"/>
  <c r="AA13" i="14" s="1"/>
  <c r="AA2030" i="14"/>
  <c r="I8" i="13"/>
  <c r="J6" i="13"/>
  <c r="G993" i="13"/>
  <c r="H11" i="13"/>
  <c r="L61" i="13" s="1"/>
  <c r="AB40" i="14" l="1"/>
  <c r="AB38" i="14"/>
  <c r="AB39" i="14"/>
  <c r="AB36" i="14"/>
  <c r="AB37" i="14"/>
  <c r="AA36" i="14"/>
  <c r="AB34" i="14"/>
  <c r="AB35" i="14"/>
  <c r="AB32" i="14"/>
  <c r="AB33" i="14"/>
  <c r="AB30" i="14"/>
  <c r="AB31" i="14"/>
  <c r="Z43" i="14"/>
  <c r="AB27" i="14"/>
  <c r="AB28" i="14"/>
  <c r="AB25" i="14"/>
  <c r="AB26" i="14"/>
  <c r="AB23" i="14"/>
  <c r="AB24" i="14"/>
  <c r="AB19" i="14"/>
  <c r="AB22" i="14"/>
  <c r="AA19" i="14"/>
  <c r="AB15" i="14"/>
  <c r="AB16" i="14"/>
  <c r="AA15" i="14"/>
  <c r="AB13" i="14"/>
  <c r="AB14" i="14"/>
  <c r="D1005" i="13"/>
  <c r="E14" i="13"/>
  <c r="E13" i="13" s="1"/>
  <c r="E16" i="13" s="1"/>
  <c r="K6" i="13"/>
  <c r="H993" i="13"/>
  <c r="I11" i="13"/>
  <c r="L63" i="13" s="1"/>
  <c r="AB12" i="14"/>
  <c r="AC9" i="14"/>
  <c r="AB2030" i="14"/>
  <c r="AB7" i="14"/>
  <c r="AB29" i="14" s="1"/>
  <c r="J8" i="13"/>
  <c r="F1001" i="13"/>
  <c r="AC40" i="14" l="1"/>
  <c r="AC41" i="14"/>
  <c r="AB41" i="14"/>
  <c r="AB43" i="14" s="1"/>
  <c r="AC38" i="14"/>
  <c r="AC39" i="14"/>
  <c r="AC36" i="14"/>
  <c r="AC37" i="14"/>
  <c r="AC34" i="14"/>
  <c r="AC32" i="14"/>
  <c r="AC33" i="14"/>
  <c r="AC30" i="14"/>
  <c r="AC31" i="14"/>
  <c r="F1003" i="13"/>
  <c r="G14" i="13" s="1"/>
  <c r="AA43" i="14"/>
  <c r="AC28" i="14"/>
  <c r="AC29" i="14"/>
  <c r="AC25" i="14"/>
  <c r="AC23" i="14"/>
  <c r="AC19" i="14"/>
  <c r="AC15" i="14"/>
  <c r="AC16" i="14"/>
  <c r="AC13" i="14"/>
  <c r="AC14" i="14"/>
  <c r="D996" i="13"/>
  <c r="F7" i="13"/>
  <c r="F13" i="13" s="1"/>
  <c r="F16" i="13" s="1"/>
  <c r="G7" i="13" s="1"/>
  <c r="I993" i="13"/>
  <c r="J11" i="13"/>
  <c r="L65" i="13" s="1"/>
  <c r="AC12" i="14"/>
  <c r="AD9" i="14"/>
  <c r="AC2030" i="14"/>
  <c r="AC7" i="14"/>
  <c r="AC22" i="14" s="1"/>
  <c r="L6" i="13"/>
  <c r="G1001" i="13"/>
  <c r="K8" i="13"/>
  <c r="H1001" i="13"/>
  <c r="AD40" i="14" l="1"/>
  <c r="AD41" i="14"/>
  <c r="AD37" i="14"/>
  <c r="AD38" i="14"/>
  <c r="AD35" i="14"/>
  <c r="AD36" i="14"/>
  <c r="AC35" i="14"/>
  <c r="AD33" i="14"/>
  <c r="AD31" i="14"/>
  <c r="AD32" i="14"/>
  <c r="AD29" i="14"/>
  <c r="AD30" i="14"/>
  <c r="G1003" i="13"/>
  <c r="H14" i="13" s="1"/>
  <c r="AD27" i="14"/>
  <c r="AD28" i="14"/>
  <c r="AC27" i="14"/>
  <c r="AD25" i="14"/>
  <c r="AD26" i="14"/>
  <c r="AC26" i="14"/>
  <c r="AD23" i="14"/>
  <c r="AD24" i="14"/>
  <c r="AC24" i="14"/>
  <c r="AD19" i="14"/>
  <c r="E996" i="13"/>
  <c r="E1005" i="13" s="1"/>
  <c r="M57" i="13"/>
  <c r="AD15" i="14"/>
  <c r="AD16" i="14"/>
  <c r="AD13" i="14"/>
  <c r="AD14" i="14"/>
  <c r="H1003" i="13"/>
  <c r="J993" i="13"/>
  <c r="K11" i="13"/>
  <c r="L67" i="13" s="1"/>
  <c r="AE9" i="14"/>
  <c r="AE41" i="14" s="1"/>
  <c r="AD2030" i="14"/>
  <c r="AD7" i="14"/>
  <c r="AD12" i="14" s="1"/>
  <c r="G13" i="13"/>
  <c r="G16" i="13" s="1"/>
  <c r="M6" i="13"/>
  <c r="L8" i="13"/>
  <c r="AE39" i="14" l="1"/>
  <c r="AE40" i="14"/>
  <c r="AD39" i="14"/>
  <c r="AE37" i="14"/>
  <c r="AE38" i="14"/>
  <c r="AE35" i="14"/>
  <c r="AE36" i="14"/>
  <c r="AD34" i="14"/>
  <c r="AD43" i="14" s="1"/>
  <c r="AE33" i="14"/>
  <c r="AE34" i="14"/>
  <c r="AE31" i="14"/>
  <c r="AE32" i="14"/>
  <c r="AE29" i="14"/>
  <c r="AE30" i="14"/>
  <c r="AE27" i="14"/>
  <c r="AC43" i="14"/>
  <c r="AE25" i="14"/>
  <c r="AE26" i="14"/>
  <c r="AE23" i="14"/>
  <c r="AE24" i="14"/>
  <c r="AE19" i="14"/>
  <c r="AE22" i="14"/>
  <c r="AE15" i="14"/>
  <c r="AE16" i="14"/>
  <c r="AE13" i="14"/>
  <c r="AE14" i="14"/>
  <c r="L11" i="13"/>
  <c r="L69" i="13" s="1"/>
  <c r="K993" i="13"/>
  <c r="H7" i="13"/>
  <c r="M59" i="13"/>
  <c r="F996" i="13"/>
  <c r="F1005" i="13" s="1"/>
  <c r="AE2030" i="14"/>
  <c r="AE7" i="14"/>
  <c r="AE28" i="14" s="1"/>
  <c r="AE12" i="14"/>
  <c r="AF9" i="14"/>
  <c r="N6" i="13"/>
  <c r="I14" i="13"/>
  <c r="J1001" i="13"/>
  <c r="I1001" i="13"/>
  <c r="M8" i="13"/>
  <c r="AF40" i="14" l="1"/>
  <c r="AF41" i="14"/>
  <c r="AF38" i="14"/>
  <c r="AF39" i="14"/>
  <c r="AF36" i="14"/>
  <c r="AF37" i="14"/>
  <c r="AF34" i="14"/>
  <c r="AF35" i="14"/>
  <c r="AF31" i="14"/>
  <c r="AF32" i="14"/>
  <c r="AF29" i="14"/>
  <c r="AF30" i="14"/>
  <c r="AF27" i="14"/>
  <c r="AF28" i="14"/>
  <c r="I1003" i="13"/>
  <c r="J14" i="13" s="1"/>
  <c r="AF25" i="14"/>
  <c r="AF26" i="14"/>
  <c r="AF23" i="14"/>
  <c r="AF24" i="14"/>
  <c r="AF19" i="14"/>
  <c r="AF22" i="14"/>
  <c r="AF15" i="14"/>
  <c r="AF16" i="14"/>
  <c r="AE43" i="14"/>
  <c r="AF13" i="14"/>
  <c r="AF14" i="14"/>
  <c r="J1003" i="13"/>
  <c r="M11" i="13"/>
  <c r="L71" i="13" s="1"/>
  <c r="L993" i="13"/>
  <c r="AF2030" i="14"/>
  <c r="AF7" i="14"/>
  <c r="AG9" i="14"/>
  <c r="AF12" i="14"/>
  <c r="H13" i="13"/>
  <c r="H16" i="13" s="1"/>
  <c r="O6" i="13"/>
  <c r="N8" i="13"/>
  <c r="K1001" i="13"/>
  <c r="AG40" i="14" l="1"/>
  <c r="AG41" i="14"/>
  <c r="AG38" i="14"/>
  <c r="AG39" i="14"/>
  <c r="AG36" i="14"/>
  <c r="AG37" i="14"/>
  <c r="AG34" i="14"/>
  <c r="AG35" i="14"/>
  <c r="AG32" i="14"/>
  <c r="AG33" i="14"/>
  <c r="AG30" i="14"/>
  <c r="AG31" i="14"/>
  <c r="AG28" i="14"/>
  <c r="AG29" i="14"/>
  <c r="AG26" i="14"/>
  <c r="AG27" i="14"/>
  <c r="AG24" i="14"/>
  <c r="AG25" i="14"/>
  <c r="AG19" i="14"/>
  <c r="K1003" i="13"/>
  <c r="L14" i="13" s="1"/>
  <c r="AG15" i="14"/>
  <c r="AG16" i="14"/>
  <c r="AF43" i="14"/>
  <c r="AG13" i="14"/>
  <c r="AG14" i="14"/>
  <c r="N11" i="13"/>
  <c r="L73" i="13" s="1"/>
  <c r="M993" i="13"/>
  <c r="I7" i="13"/>
  <c r="G996" i="13"/>
  <c r="G1005" i="13" s="1"/>
  <c r="M61" i="13"/>
  <c r="AG2030" i="14"/>
  <c r="AG7" i="14"/>
  <c r="AG22" i="14" s="1"/>
  <c r="AH9" i="14"/>
  <c r="AH41" i="14" s="1"/>
  <c r="AG12" i="14"/>
  <c r="P6" i="13"/>
  <c r="K14" i="13"/>
  <c r="O8" i="13"/>
  <c r="L1001" i="13"/>
  <c r="AH39" i="14" l="1"/>
  <c r="AH37" i="14"/>
  <c r="AH38" i="14"/>
  <c r="AH35" i="14"/>
  <c r="AH36" i="14"/>
  <c r="AH33" i="14"/>
  <c r="AH34" i="14"/>
  <c r="AH31" i="14"/>
  <c r="AH32" i="14"/>
  <c r="AH29" i="14"/>
  <c r="AH30" i="14"/>
  <c r="AH27" i="14"/>
  <c r="AH28" i="14"/>
  <c r="AH25" i="14"/>
  <c r="AH26" i="14"/>
  <c r="AH23" i="14"/>
  <c r="AH24" i="14"/>
  <c r="AG23" i="14"/>
  <c r="AG43" i="14" s="1"/>
  <c r="AH19" i="14"/>
  <c r="L1003" i="13"/>
  <c r="L1005" i="13" s="1"/>
  <c r="AH15" i="14"/>
  <c r="AH16" i="14"/>
  <c r="AH13" i="14"/>
  <c r="AH14" i="14"/>
  <c r="O11" i="13"/>
  <c r="L75" i="13" s="1"/>
  <c r="N993" i="13"/>
  <c r="Q6" i="13"/>
  <c r="AH2030" i="14"/>
  <c r="AH7" i="14"/>
  <c r="AH40" i="14" s="1"/>
  <c r="AI9" i="14"/>
  <c r="AI41" i="14" s="1"/>
  <c r="AH12" i="14"/>
  <c r="I13" i="13"/>
  <c r="I16" i="13" s="1"/>
  <c r="M1001" i="13"/>
  <c r="P8" i="13"/>
  <c r="AI39" i="14" l="1"/>
  <c r="AI40" i="14"/>
  <c r="AI37" i="14"/>
  <c r="AI38" i="14"/>
  <c r="AI35" i="14"/>
  <c r="AI36" i="14"/>
  <c r="AI33" i="14"/>
  <c r="AI34" i="14"/>
  <c r="AI31" i="14"/>
  <c r="AI32" i="14"/>
  <c r="AI29" i="14"/>
  <c r="AI30" i="14"/>
  <c r="AI27" i="14"/>
  <c r="AI28" i="14"/>
  <c r="M14" i="13"/>
  <c r="AI25" i="14"/>
  <c r="AI26" i="14"/>
  <c r="AI23" i="14"/>
  <c r="AI24" i="14"/>
  <c r="AI19" i="14"/>
  <c r="AI22" i="14"/>
  <c r="M1003" i="13"/>
  <c r="N14" i="13" s="1"/>
  <c r="AH43" i="14"/>
  <c r="AI15" i="14"/>
  <c r="AI13" i="14"/>
  <c r="AI14" i="14"/>
  <c r="P11" i="13"/>
  <c r="O57" i="13" s="1"/>
  <c r="O993" i="13"/>
  <c r="M63" i="13"/>
  <c r="H996" i="13"/>
  <c r="H1005" i="13" s="1"/>
  <c r="J7" i="13"/>
  <c r="AI2030" i="14"/>
  <c r="AI7" i="14"/>
  <c r="AI16" i="14" s="1"/>
  <c r="AJ9" i="14"/>
  <c r="AJ41" i="14" s="1"/>
  <c r="AI12" i="14"/>
  <c r="R6" i="13"/>
  <c r="N1001" i="13"/>
  <c r="Q8" i="13"/>
  <c r="AJ39" i="14" l="1"/>
  <c r="AJ40" i="14"/>
  <c r="AJ37" i="14"/>
  <c r="AJ38" i="14"/>
  <c r="AJ35" i="14"/>
  <c r="AJ36" i="14"/>
  <c r="AJ33" i="14"/>
  <c r="AJ34" i="14"/>
  <c r="AJ31" i="14"/>
  <c r="AJ32" i="14"/>
  <c r="AJ29" i="14"/>
  <c r="AJ30" i="14"/>
  <c r="AJ27" i="14"/>
  <c r="AJ28" i="14"/>
  <c r="AJ25" i="14"/>
  <c r="AJ26" i="14"/>
  <c r="AJ23" i="14"/>
  <c r="AJ24" i="14"/>
  <c r="AJ19" i="14"/>
  <c r="AJ22" i="14"/>
  <c r="N1003" i="13"/>
  <c r="AI43" i="14"/>
  <c r="AJ15" i="14"/>
  <c r="AJ13" i="14"/>
  <c r="AJ14" i="14"/>
  <c r="P993" i="13"/>
  <c r="Q11" i="13"/>
  <c r="O59" i="13" s="1"/>
  <c r="AK9" i="14"/>
  <c r="AJ7" i="14"/>
  <c r="AJ16" i="14" s="1"/>
  <c r="AJ2030" i="14"/>
  <c r="AJ12" i="14"/>
  <c r="J13" i="13"/>
  <c r="J16" i="13" s="1"/>
  <c r="S6" i="13"/>
  <c r="O1001" i="13"/>
  <c r="R8" i="13"/>
  <c r="AK40" i="14" l="1"/>
  <c r="AK41" i="14"/>
  <c r="AK38" i="14"/>
  <c r="AK39" i="14"/>
  <c r="AK36" i="14"/>
  <c r="AK37" i="14"/>
  <c r="AK34" i="14"/>
  <c r="AK35" i="14"/>
  <c r="AK32" i="14"/>
  <c r="AK33" i="14"/>
  <c r="AK30" i="14"/>
  <c r="AK31" i="14"/>
  <c r="O14" i="13"/>
  <c r="AK28" i="14"/>
  <c r="AK29" i="14"/>
  <c r="AK25" i="14"/>
  <c r="AK26" i="14"/>
  <c r="AK23" i="14"/>
  <c r="AK24" i="14"/>
  <c r="AK19" i="14"/>
  <c r="O1003" i="13"/>
  <c r="P14" i="13" s="1"/>
  <c r="AK15" i="14"/>
  <c r="AK16" i="14"/>
  <c r="AJ43" i="14"/>
  <c r="AK13" i="14"/>
  <c r="AK14" i="14"/>
  <c r="Q993" i="13"/>
  <c r="R11" i="13"/>
  <c r="O61" i="13" s="1"/>
  <c r="I996" i="13"/>
  <c r="I1005" i="13" s="1"/>
  <c r="M65" i="13"/>
  <c r="K7" i="13"/>
  <c r="AL9" i="14"/>
  <c r="AK2030" i="14"/>
  <c r="AK7" i="14"/>
  <c r="AK22" i="14" s="1"/>
  <c r="AK12" i="14"/>
  <c r="T6" i="13"/>
  <c r="P1001" i="13"/>
  <c r="S8" i="13"/>
  <c r="AL40" i="14" l="1"/>
  <c r="AL41" i="14"/>
  <c r="AL38" i="14"/>
  <c r="AL39" i="14"/>
  <c r="AL35" i="14"/>
  <c r="AL36" i="14"/>
  <c r="AL33" i="14"/>
  <c r="AL34" i="14"/>
  <c r="AL31" i="14"/>
  <c r="AL32" i="14"/>
  <c r="AL29" i="14"/>
  <c r="AL30" i="14"/>
  <c r="AL27" i="14"/>
  <c r="AL28" i="14"/>
  <c r="AK27" i="14"/>
  <c r="AK43" i="14" s="1"/>
  <c r="AL25" i="14"/>
  <c r="AL26" i="14"/>
  <c r="AL23" i="14"/>
  <c r="AL24" i="14"/>
  <c r="AL19" i="14"/>
  <c r="AL22" i="14"/>
  <c r="P1003" i="13"/>
  <c r="Q14" i="13" s="1"/>
  <c r="AL15" i="14"/>
  <c r="AL16" i="14"/>
  <c r="AL13" i="14"/>
  <c r="AL14" i="14"/>
  <c r="R993" i="13"/>
  <c r="S11" i="13"/>
  <c r="O63" i="13" s="1"/>
  <c r="F27" i="13"/>
  <c r="AL12" i="14"/>
  <c r="AL2030" i="14"/>
  <c r="AL7" i="14"/>
  <c r="AL37" i="14" s="1"/>
  <c r="AM9" i="14"/>
  <c r="AM41" i="14" s="1"/>
  <c r="K13" i="13"/>
  <c r="K16" i="13" s="1"/>
  <c r="Q1001" i="13"/>
  <c r="T8" i="13"/>
  <c r="AM39" i="14" l="1"/>
  <c r="AM40" i="14"/>
  <c r="AM37" i="14"/>
  <c r="AM38" i="14"/>
  <c r="AM35" i="14"/>
  <c r="AM36" i="14"/>
  <c r="AM33" i="14"/>
  <c r="AM34" i="14"/>
  <c r="AM31" i="14"/>
  <c r="AM32" i="14"/>
  <c r="AM29" i="14"/>
  <c r="AM30" i="14"/>
  <c r="AM27" i="14"/>
  <c r="AM28" i="14"/>
  <c r="AM25" i="14"/>
  <c r="AM26" i="14"/>
  <c r="AM23" i="14"/>
  <c r="AM24" i="14"/>
  <c r="AM19" i="14"/>
  <c r="AM22" i="14"/>
  <c r="Q1003" i="13"/>
  <c r="R14" i="13" s="1"/>
  <c r="AL43" i="14"/>
  <c r="AM15" i="14"/>
  <c r="AM16" i="14"/>
  <c r="AM13" i="14"/>
  <c r="AM14" i="14"/>
  <c r="S993" i="13"/>
  <c r="T11" i="13"/>
  <c r="O65" i="13" s="1"/>
  <c r="J996" i="13"/>
  <c r="J1005" i="13" s="1"/>
  <c r="L7" i="13"/>
  <c r="M67" i="13"/>
  <c r="G27" i="13"/>
  <c r="AM12" i="14"/>
  <c r="AN9" i="14"/>
  <c r="AN41" i="14" s="1"/>
  <c r="AM2030" i="14"/>
  <c r="AM7" i="14"/>
  <c r="F29" i="13"/>
  <c r="R1001" i="13"/>
  <c r="AN39" i="14" l="1"/>
  <c r="AN40" i="14"/>
  <c r="AN36" i="14"/>
  <c r="AN37" i="14"/>
  <c r="AN34" i="14"/>
  <c r="AN35" i="14"/>
  <c r="AN32" i="14"/>
  <c r="AN29" i="14"/>
  <c r="AN30" i="14"/>
  <c r="AN27" i="14"/>
  <c r="AN28" i="14"/>
  <c r="AN25" i="14"/>
  <c r="AN26" i="14"/>
  <c r="AN23" i="14"/>
  <c r="AN24" i="14"/>
  <c r="AN19" i="14"/>
  <c r="AN22" i="14"/>
  <c r="AM43" i="14"/>
  <c r="R1003" i="13"/>
  <c r="AN15" i="14"/>
  <c r="AN16" i="14"/>
  <c r="AN13" i="14"/>
  <c r="AN14" i="14"/>
  <c r="T993" i="13"/>
  <c r="F32" i="13"/>
  <c r="O67" i="13" s="1"/>
  <c r="H27" i="13"/>
  <c r="L13" i="13"/>
  <c r="L16" i="13" s="1"/>
  <c r="AN12" i="14"/>
  <c r="AN2030" i="14"/>
  <c r="AN7" i="14"/>
  <c r="AN31" i="14" s="1"/>
  <c r="AO9" i="14"/>
  <c r="S1001" i="13"/>
  <c r="G29" i="13"/>
  <c r="AO40" i="14" l="1"/>
  <c r="AO41" i="14"/>
  <c r="AO38" i="14"/>
  <c r="AO39" i="14"/>
  <c r="AN38" i="14"/>
  <c r="AO36" i="14"/>
  <c r="AO37" i="14"/>
  <c r="AO34" i="14"/>
  <c r="AO35" i="14"/>
  <c r="AO32" i="14"/>
  <c r="AO33" i="14"/>
  <c r="AN33" i="14"/>
  <c r="AN43" i="14" s="1"/>
  <c r="AO29" i="14"/>
  <c r="AO30" i="14"/>
  <c r="AO27" i="14"/>
  <c r="AO28" i="14"/>
  <c r="AO25" i="14"/>
  <c r="AO26" i="14"/>
  <c r="AO23" i="14"/>
  <c r="AO24" i="14"/>
  <c r="S14" i="13"/>
  <c r="AO19" i="14"/>
  <c r="S1003" i="13"/>
  <c r="S1005" i="13" s="1"/>
  <c r="AO15" i="14"/>
  <c r="AO16" i="14"/>
  <c r="AO13" i="14"/>
  <c r="AO14" i="14"/>
  <c r="U993" i="13"/>
  <c r="G32" i="13"/>
  <c r="O69" i="13" s="1"/>
  <c r="K996" i="13"/>
  <c r="K1005" i="13" s="1"/>
  <c r="M69" i="13"/>
  <c r="M7" i="13"/>
  <c r="I27" i="13"/>
  <c r="AO12" i="14"/>
  <c r="AO7" i="14"/>
  <c r="AO22" i="14" s="1"/>
  <c r="AP9" i="14"/>
  <c r="AP41" i="14" s="1"/>
  <c r="AO2030" i="14"/>
  <c r="T1001" i="13"/>
  <c r="H29" i="13"/>
  <c r="AP39" i="14" l="1"/>
  <c r="AP40" i="14"/>
  <c r="AP37" i="14"/>
  <c r="AP38" i="14"/>
  <c r="AP35" i="14"/>
  <c r="AP36" i="14"/>
  <c r="AP33" i="14"/>
  <c r="AP34" i="14"/>
  <c r="AP31" i="14"/>
  <c r="AP32" i="14"/>
  <c r="AO31" i="14"/>
  <c r="AO43" i="14" s="1"/>
  <c r="AP29" i="14"/>
  <c r="AP30" i="14"/>
  <c r="AP27" i="14"/>
  <c r="AP28" i="14"/>
  <c r="AP25" i="14"/>
  <c r="AP26" i="14"/>
  <c r="AP23" i="14"/>
  <c r="AP24" i="14"/>
  <c r="T14" i="13"/>
  <c r="AP19" i="14"/>
  <c r="AP22" i="14"/>
  <c r="AP15" i="14"/>
  <c r="AP16" i="14"/>
  <c r="T1003" i="13"/>
  <c r="F35" i="13" s="1"/>
  <c r="AP13" i="14"/>
  <c r="AP14" i="14"/>
  <c r="V993" i="13"/>
  <c r="H32" i="13"/>
  <c r="O71" i="13" s="1"/>
  <c r="J27" i="13"/>
  <c r="M13" i="13"/>
  <c r="M16" i="13" s="1"/>
  <c r="AP12" i="14"/>
  <c r="AP7" i="14"/>
  <c r="AQ9" i="14"/>
  <c r="AQ41" i="14" s="1"/>
  <c r="AP2030" i="14"/>
  <c r="B26" i="2"/>
  <c r="I29" i="13"/>
  <c r="U1001" i="13"/>
  <c r="AQ39" i="14" l="1"/>
  <c r="AQ40" i="14"/>
  <c r="AQ37" i="14"/>
  <c r="AQ38" i="14"/>
  <c r="AQ35" i="14"/>
  <c r="AQ36" i="14"/>
  <c r="AQ33" i="14"/>
  <c r="AQ34" i="14"/>
  <c r="AQ31" i="14"/>
  <c r="AQ32" i="14"/>
  <c r="AQ29" i="14"/>
  <c r="AQ30" i="14"/>
  <c r="AQ27" i="14"/>
  <c r="AQ28" i="14"/>
  <c r="AQ25" i="14"/>
  <c r="AQ26" i="14"/>
  <c r="AQ23" i="14"/>
  <c r="AQ24" i="14"/>
  <c r="AP43" i="14"/>
  <c r="AQ19" i="14"/>
  <c r="AQ22" i="14"/>
  <c r="AQ15" i="14"/>
  <c r="AQ16" i="14"/>
  <c r="U1003" i="13"/>
  <c r="G35" i="13" s="1"/>
  <c r="AQ13" i="14"/>
  <c r="AQ14" i="14"/>
  <c r="W993" i="13"/>
  <c r="I32" i="13"/>
  <c r="O73" i="13" s="1"/>
  <c r="AQ2030" i="14"/>
  <c r="AQ7" i="14"/>
  <c r="AQ12" i="14"/>
  <c r="AR9" i="14"/>
  <c r="AR41" i="14" s="1"/>
  <c r="M71" i="13"/>
  <c r="N7" i="13"/>
  <c r="L996" i="13"/>
  <c r="K27" i="13"/>
  <c r="V1001" i="13"/>
  <c r="J29" i="13"/>
  <c r="AR39" i="14" l="1"/>
  <c r="AR40" i="14"/>
  <c r="AR37" i="14"/>
  <c r="AR38" i="14"/>
  <c r="AR35" i="14"/>
  <c r="AR36" i="14"/>
  <c r="AR33" i="14"/>
  <c r="AR34" i="14"/>
  <c r="AR31" i="14"/>
  <c r="AR32" i="14"/>
  <c r="AR29" i="14"/>
  <c r="AR30" i="14"/>
  <c r="AR27" i="14"/>
  <c r="AR28" i="14"/>
  <c r="AR25" i="14"/>
  <c r="AR26" i="14"/>
  <c r="AR23" i="14"/>
  <c r="AR24" i="14"/>
  <c r="V1003" i="13"/>
  <c r="H35" i="13" s="1"/>
  <c r="AR19" i="14"/>
  <c r="AR22" i="14"/>
  <c r="AQ43" i="14"/>
  <c r="AR15" i="14"/>
  <c r="AR16" i="14"/>
  <c r="AR13" i="14"/>
  <c r="AR14" i="14"/>
  <c r="X993" i="13"/>
  <c r="J32" i="13"/>
  <c r="O75" i="13" s="1"/>
  <c r="AR2030" i="14"/>
  <c r="AR7" i="14"/>
  <c r="AS9" i="14"/>
  <c r="AR12" i="14"/>
  <c r="N13" i="13"/>
  <c r="N16" i="13" s="1"/>
  <c r="L27" i="13"/>
  <c r="K29" i="13"/>
  <c r="W1001" i="13"/>
  <c r="AS40" i="14" l="1"/>
  <c r="AS41" i="14"/>
  <c r="AS38" i="14"/>
  <c r="AS39" i="14"/>
  <c r="AS36" i="14"/>
  <c r="AS37" i="14"/>
  <c r="AS34" i="14"/>
  <c r="AS35" i="14"/>
  <c r="AS32" i="14"/>
  <c r="AS33" i="14"/>
  <c r="AS30" i="14"/>
  <c r="AS31" i="14"/>
  <c r="V1005" i="13"/>
  <c r="AS28" i="14"/>
  <c r="AS29" i="14"/>
  <c r="AS25" i="14"/>
  <c r="AS26" i="14"/>
  <c r="AS23" i="14"/>
  <c r="AS24" i="14"/>
  <c r="AS19" i="14"/>
  <c r="W1003" i="13"/>
  <c r="W1005" i="13" s="1"/>
  <c r="AS15" i="14"/>
  <c r="AS16" i="14"/>
  <c r="AR43" i="14"/>
  <c r="AS13" i="14"/>
  <c r="K32" i="13"/>
  <c r="R57" i="13" s="1"/>
  <c r="Y993" i="13"/>
  <c r="M73" i="13"/>
  <c r="M996" i="13"/>
  <c r="M1005" i="13" s="1"/>
  <c r="O7" i="13"/>
  <c r="AS2030" i="14"/>
  <c r="AS7" i="14"/>
  <c r="AS14" i="14" s="1"/>
  <c r="AT9" i="14"/>
  <c r="AT41" i="14" s="1"/>
  <c r="AS12" i="14"/>
  <c r="M27" i="13"/>
  <c r="X1001" i="13"/>
  <c r="L29" i="13"/>
  <c r="AT39" i="14" l="1"/>
  <c r="AT40" i="14"/>
  <c r="AT37" i="14"/>
  <c r="AT38" i="14"/>
  <c r="AT35" i="14"/>
  <c r="AT36" i="14"/>
  <c r="AT33" i="14"/>
  <c r="AT34" i="14"/>
  <c r="AT31" i="14"/>
  <c r="AT32" i="14"/>
  <c r="I35" i="13"/>
  <c r="AT29" i="14"/>
  <c r="AT27" i="14"/>
  <c r="AT28" i="14"/>
  <c r="AS27" i="14"/>
  <c r="AT25" i="14"/>
  <c r="AT26" i="14"/>
  <c r="AT23" i="14"/>
  <c r="AT24" i="14"/>
  <c r="AS22" i="14"/>
  <c r="AT19" i="14"/>
  <c r="AT22" i="14"/>
  <c r="AT15" i="14"/>
  <c r="AT16" i="14"/>
  <c r="X1003" i="13"/>
  <c r="X1005" i="13" s="1"/>
  <c r="AT13" i="14"/>
  <c r="AT14" i="14"/>
  <c r="L32" i="13"/>
  <c r="R59" i="13" s="1"/>
  <c r="Z993" i="13"/>
  <c r="O13" i="13"/>
  <c r="O16" i="13" s="1"/>
  <c r="AT2030" i="14"/>
  <c r="AT7" i="14"/>
  <c r="AT30" i="14" s="1"/>
  <c r="AU9" i="14"/>
  <c r="AU41" i="14" s="1"/>
  <c r="AT12" i="14"/>
  <c r="N27" i="13"/>
  <c r="M29" i="13"/>
  <c r="AU39" i="14" l="1"/>
  <c r="AU40" i="14"/>
  <c r="AU37" i="14"/>
  <c r="AU38" i="14"/>
  <c r="AU35" i="14"/>
  <c r="AU36" i="14"/>
  <c r="AU33" i="14"/>
  <c r="AU34" i="14"/>
  <c r="AU31" i="14"/>
  <c r="AU32" i="14"/>
  <c r="AS43" i="14"/>
  <c r="AU29" i="14"/>
  <c r="AU30" i="14"/>
  <c r="AU27" i="14"/>
  <c r="AU28" i="14"/>
  <c r="AU25" i="14"/>
  <c r="AU26" i="14"/>
  <c r="AU23" i="14"/>
  <c r="AU24" i="14"/>
  <c r="AU19" i="14"/>
  <c r="AU22" i="14"/>
  <c r="AU15" i="14"/>
  <c r="AU16" i="14"/>
  <c r="J35" i="13"/>
  <c r="AU13" i="14"/>
  <c r="AU14" i="14"/>
  <c r="AT43" i="14"/>
  <c r="M32" i="13"/>
  <c r="R61" i="13" s="1"/>
  <c r="AA993" i="13"/>
  <c r="AU2030" i="14"/>
  <c r="AU7" i="14"/>
  <c r="AV9" i="14"/>
  <c r="AU12" i="14"/>
  <c r="N996" i="13"/>
  <c r="N1005" i="13" s="1"/>
  <c r="M75" i="13"/>
  <c r="P7" i="13"/>
  <c r="O27" i="13"/>
  <c r="N29" i="13"/>
  <c r="Z1001" i="13"/>
  <c r="Y1001" i="13"/>
  <c r="AV39" i="14" l="1"/>
  <c r="AV40" i="14"/>
  <c r="AV37" i="14"/>
  <c r="AV38" i="14"/>
  <c r="AV35" i="14"/>
  <c r="AV36" i="14"/>
  <c r="AV33" i="14"/>
  <c r="AV34" i="14"/>
  <c r="AV31" i="14"/>
  <c r="AV32" i="14"/>
  <c r="Y1003" i="13"/>
  <c r="K35" i="13" s="1"/>
  <c r="AV29" i="14"/>
  <c r="AV30" i="14"/>
  <c r="AV27" i="14"/>
  <c r="AV28" i="14"/>
  <c r="AV25" i="14"/>
  <c r="AV26" i="14"/>
  <c r="AV23" i="14"/>
  <c r="AV24" i="14"/>
  <c r="AV19" i="14"/>
  <c r="AV22" i="14"/>
  <c r="AV15" i="14"/>
  <c r="AV16" i="14"/>
  <c r="AU43" i="14"/>
  <c r="Z1003" i="13"/>
  <c r="AV13" i="14"/>
  <c r="AV14" i="14"/>
  <c r="AB993" i="13"/>
  <c r="N32" i="13"/>
  <c r="R63" i="13" s="1"/>
  <c r="P13" i="13"/>
  <c r="P16" i="13" s="1"/>
  <c r="AW9" i="14"/>
  <c r="AV7" i="14"/>
  <c r="AV41" i="14" s="1"/>
  <c r="AV2030" i="14"/>
  <c r="AV12" i="14"/>
  <c r="P27" i="13"/>
  <c r="AA1001" i="13"/>
  <c r="O29" i="13"/>
  <c r="AW40" i="14" l="1"/>
  <c r="AW41" i="14"/>
  <c r="AW38" i="14"/>
  <c r="AW39" i="14"/>
  <c r="AW36" i="14"/>
  <c r="AW37" i="14"/>
  <c r="AW34" i="14"/>
  <c r="AW35" i="14"/>
  <c r="AW32" i="14"/>
  <c r="AW33" i="14"/>
  <c r="AW30" i="14"/>
  <c r="AW31" i="14"/>
  <c r="AW28" i="14"/>
  <c r="AW29" i="14"/>
  <c r="AW26" i="14"/>
  <c r="AW27" i="14"/>
  <c r="AW24" i="14"/>
  <c r="AW23" i="14"/>
  <c r="AW19" i="14"/>
  <c r="AA1003" i="13"/>
  <c r="AA1005" i="13" s="1"/>
  <c r="AW16" i="14"/>
  <c r="L35" i="13"/>
  <c r="AV43" i="14"/>
  <c r="AW14" i="14"/>
  <c r="O32" i="13"/>
  <c r="R65" i="13" s="1"/>
  <c r="AC993" i="13"/>
  <c r="P57" i="13"/>
  <c r="O996" i="13"/>
  <c r="O1005" i="13" s="1"/>
  <c r="Q7" i="13"/>
  <c r="AX9" i="14"/>
  <c r="AW2030" i="14"/>
  <c r="AW7" i="14"/>
  <c r="AW13" i="14" s="1"/>
  <c r="AW12" i="14"/>
  <c r="Q27" i="13"/>
  <c r="AB1001" i="13"/>
  <c r="P29" i="13"/>
  <c r="AX40" i="14" l="1"/>
  <c r="AX41" i="14"/>
  <c r="AX38" i="14"/>
  <c r="AX39" i="14"/>
  <c r="AX36" i="14"/>
  <c r="AX37" i="14"/>
  <c r="AX34" i="14"/>
  <c r="AX35" i="14"/>
  <c r="AX31" i="14"/>
  <c r="AX32" i="14"/>
  <c r="AX29" i="14"/>
  <c r="AX30" i="14"/>
  <c r="AX27" i="14"/>
  <c r="AX28" i="14"/>
  <c r="AX25" i="14"/>
  <c r="AX26" i="14"/>
  <c r="AW25" i="14"/>
  <c r="AX23" i="14"/>
  <c r="AX24" i="14"/>
  <c r="AW22" i="14"/>
  <c r="M35" i="13"/>
  <c r="AX16" i="14"/>
  <c r="AX19" i="14"/>
  <c r="AW15" i="14"/>
  <c r="AB1003" i="13"/>
  <c r="N35" i="13" s="1"/>
  <c r="AX14" i="14"/>
  <c r="P32" i="13"/>
  <c r="R67" i="13" s="1"/>
  <c r="AD993" i="13"/>
  <c r="R27" i="13"/>
  <c r="AX12" i="14"/>
  <c r="AX2030" i="14"/>
  <c r="AX7" i="14"/>
  <c r="AX13" i="14" s="1"/>
  <c r="AY9" i="14"/>
  <c r="Q13" i="13"/>
  <c r="Q16" i="13" s="1"/>
  <c r="Q29" i="13"/>
  <c r="AY40" i="14" l="1"/>
  <c r="AY41" i="14"/>
  <c r="AY38" i="14"/>
  <c r="AY39" i="14"/>
  <c r="AY36" i="14"/>
  <c r="AY37" i="14"/>
  <c r="AY34" i="14"/>
  <c r="AY35" i="14"/>
  <c r="AY32" i="14"/>
  <c r="AY33" i="14"/>
  <c r="AX33" i="14"/>
  <c r="AY30" i="14"/>
  <c r="AY31" i="14"/>
  <c r="AW43" i="14"/>
  <c r="AY28" i="14"/>
  <c r="AY29" i="14"/>
  <c r="AY26" i="14"/>
  <c r="AY27" i="14"/>
  <c r="AY24" i="14"/>
  <c r="AY25" i="14"/>
  <c r="AY22" i="14"/>
  <c r="AY23" i="14"/>
  <c r="AY15" i="14"/>
  <c r="AY16" i="14"/>
  <c r="AX15" i="14"/>
  <c r="AX43" i="14" s="1"/>
  <c r="AY13" i="14"/>
  <c r="AY14" i="14"/>
  <c r="AE993" i="13"/>
  <c r="Q32" i="13"/>
  <c r="R69" i="13" s="1"/>
  <c r="P996" i="13"/>
  <c r="P1005" i="13" s="1"/>
  <c r="R7" i="13"/>
  <c r="P59" i="13"/>
  <c r="AY12" i="14"/>
  <c r="AZ9" i="14"/>
  <c r="AZ41" i="14" s="1"/>
  <c r="AY7" i="14"/>
  <c r="AY19" i="14" s="1"/>
  <c r="AY2030" i="14"/>
  <c r="S27" i="13"/>
  <c r="R29" i="13"/>
  <c r="AC1001" i="13"/>
  <c r="AD1001" i="13"/>
  <c r="AZ39" i="14" l="1"/>
  <c r="AZ40" i="14"/>
  <c r="AZ37" i="14"/>
  <c r="AZ38" i="14"/>
  <c r="AZ34" i="14"/>
  <c r="AZ35" i="14"/>
  <c r="AZ32" i="14"/>
  <c r="AZ33" i="14"/>
  <c r="AZ30" i="14"/>
  <c r="AZ31" i="14"/>
  <c r="AC1003" i="13"/>
  <c r="O35" i="13" s="1"/>
  <c r="AZ28" i="14"/>
  <c r="AZ29" i="14"/>
  <c r="AZ26" i="14"/>
  <c r="AZ27" i="14"/>
  <c r="AZ24" i="14"/>
  <c r="AZ25" i="14"/>
  <c r="AZ22" i="14"/>
  <c r="AZ23" i="14"/>
  <c r="AY43" i="14"/>
  <c r="AZ15" i="14"/>
  <c r="AZ16" i="14"/>
  <c r="AZ13" i="14"/>
  <c r="AZ14" i="14"/>
  <c r="AD1003" i="13"/>
  <c r="P35" i="13" s="1"/>
  <c r="AF993" i="13"/>
  <c r="R32" i="13"/>
  <c r="R71" i="13" s="1"/>
  <c r="R13" i="13"/>
  <c r="R16" i="13" s="1"/>
  <c r="AZ12" i="14"/>
  <c r="BA9" i="14"/>
  <c r="AZ2030" i="14"/>
  <c r="AZ7" i="14"/>
  <c r="AZ19" i="14" s="1"/>
  <c r="T27" i="13"/>
  <c r="S29" i="13"/>
  <c r="AE1001" i="13"/>
  <c r="T29" i="13"/>
  <c r="BA40" i="14" l="1"/>
  <c r="BA41" i="14"/>
  <c r="BA38" i="14"/>
  <c r="BA39" i="14"/>
  <c r="BA36" i="14"/>
  <c r="BA37" i="14"/>
  <c r="AZ36" i="14"/>
  <c r="AZ43" i="14" s="1"/>
  <c r="BA34" i="14"/>
  <c r="BA35" i="14"/>
  <c r="BA32" i="14"/>
  <c r="BA33" i="14"/>
  <c r="BA30" i="14"/>
  <c r="BA31" i="14"/>
  <c r="BA28" i="14"/>
  <c r="BA26" i="14"/>
  <c r="BA24" i="14"/>
  <c r="BA25" i="14"/>
  <c r="BA19" i="14"/>
  <c r="AE1003" i="13"/>
  <c r="Q35" i="13" s="1"/>
  <c r="BA15" i="14"/>
  <c r="BA16" i="14"/>
  <c r="BA13" i="14"/>
  <c r="BA14" i="14"/>
  <c r="AH993" i="13"/>
  <c r="T32" i="13"/>
  <c r="R75" i="13" s="1"/>
  <c r="S32" i="13"/>
  <c r="R73" i="13" s="1"/>
  <c r="AG993" i="13"/>
  <c r="P61" i="13"/>
  <c r="S7" i="13"/>
  <c r="Q996" i="13"/>
  <c r="Q1005" i="13" s="1"/>
  <c r="BA12" i="14"/>
  <c r="BA2030" i="14"/>
  <c r="BA7" i="14"/>
  <c r="BA23" i="14" s="1"/>
  <c r="BB9" i="14"/>
  <c r="AF1001" i="13"/>
  <c r="BB41" i="14" l="1"/>
  <c r="V41" i="14" s="1"/>
  <c r="O41" i="14"/>
  <c r="Q41" i="14" s="1"/>
  <c r="BB40" i="14"/>
  <c r="V40" i="14" s="1"/>
  <c r="O40" i="14"/>
  <c r="Q40" i="14" s="1"/>
  <c r="BB39" i="14"/>
  <c r="V39" i="14" s="1"/>
  <c r="O39" i="14"/>
  <c r="Q39" i="14" s="1"/>
  <c r="O38" i="14"/>
  <c r="Q38" i="14" s="1"/>
  <c r="BB37" i="14"/>
  <c r="V37" i="14" s="1"/>
  <c r="O37" i="14"/>
  <c r="Q37" i="14" s="1"/>
  <c r="BB36" i="14"/>
  <c r="V36" i="14" s="1"/>
  <c r="O36" i="14"/>
  <c r="Q36" i="14" s="1"/>
  <c r="O35" i="14"/>
  <c r="Q35" i="14" s="1"/>
  <c r="BB34" i="14"/>
  <c r="V34" i="14" s="1"/>
  <c r="O34" i="14"/>
  <c r="Q34" i="14" s="1"/>
  <c r="BB33" i="14"/>
  <c r="V33" i="14" s="1"/>
  <c r="O33" i="14"/>
  <c r="Q33" i="14" s="1"/>
  <c r="BB32" i="14"/>
  <c r="V32" i="14" s="1"/>
  <c r="O32" i="14"/>
  <c r="Q32" i="14" s="1"/>
  <c r="BB31" i="14"/>
  <c r="V31" i="14" s="1"/>
  <c r="O31" i="14"/>
  <c r="Q31" i="14" s="1"/>
  <c r="BB30" i="14"/>
  <c r="V30" i="14" s="1"/>
  <c r="O30" i="14"/>
  <c r="Q30" i="14" s="1"/>
  <c r="BB29" i="14"/>
  <c r="O29" i="14"/>
  <c r="Q29" i="14" s="1"/>
  <c r="BA29" i="14"/>
  <c r="BB28" i="14"/>
  <c r="V28" i="14" s="1"/>
  <c r="O28" i="14"/>
  <c r="Q28" i="14" s="1"/>
  <c r="BB27" i="14"/>
  <c r="O27" i="14"/>
  <c r="Q27" i="14" s="1"/>
  <c r="BA27" i="14"/>
  <c r="BB26" i="14"/>
  <c r="V26" i="14" s="1"/>
  <c r="O26" i="14"/>
  <c r="Q26" i="14" s="1"/>
  <c r="BB25" i="14"/>
  <c r="V25" i="14" s="1"/>
  <c r="O25" i="14"/>
  <c r="Q25" i="14" s="1"/>
  <c r="BB24" i="14"/>
  <c r="V24" i="14" s="1"/>
  <c r="O24" i="14"/>
  <c r="Q24" i="14" s="1"/>
  <c r="BB23" i="14"/>
  <c r="V23" i="14" s="1"/>
  <c r="O23" i="14"/>
  <c r="Q23" i="14" s="1"/>
  <c r="BA22" i="14"/>
  <c r="O22" i="14"/>
  <c r="Q22" i="14" s="1"/>
  <c r="BB19" i="14"/>
  <c r="V19" i="14" s="1"/>
  <c r="O19" i="14"/>
  <c r="Q19" i="14" s="1"/>
  <c r="BB16" i="14"/>
  <c r="V16" i="14" s="1"/>
  <c r="O16" i="14"/>
  <c r="Q16" i="14" s="1"/>
  <c r="AF1003" i="13"/>
  <c r="R35" i="13" s="1"/>
  <c r="BB15" i="14"/>
  <c r="V15" i="14" s="1"/>
  <c r="O15" i="14"/>
  <c r="Q15" i="14" s="1"/>
  <c r="BB14" i="14"/>
  <c r="V14" i="14" s="1"/>
  <c r="O14" i="14"/>
  <c r="Q14" i="14" s="1"/>
  <c r="BB13" i="14"/>
  <c r="V13" i="14" s="1"/>
  <c r="O13" i="14"/>
  <c r="Q13" i="14" s="1"/>
  <c r="S13" i="13"/>
  <c r="S16" i="13" s="1"/>
  <c r="BB12" i="14"/>
  <c r="O12" i="14"/>
  <c r="Q12" i="14" s="1"/>
  <c r="BB7" i="14"/>
  <c r="BB35" i="14" s="1"/>
  <c r="V35" i="14" s="1"/>
  <c r="BB2030" i="14"/>
  <c r="V2030" i="14" s="1"/>
  <c r="BB38" i="14" l="1"/>
  <c r="V38" i="14" s="1"/>
  <c r="V29" i="14"/>
  <c r="V27" i="14"/>
  <c r="BA43" i="14"/>
  <c r="V22" i="14"/>
  <c r="O2030" i="14"/>
  <c r="Q2030" i="14" s="1"/>
  <c r="T7" i="13"/>
  <c r="P63" i="13"/>
  <c r="R996" i="13"/>
  <c r="R1005" i="13" s="1"/>
  <c r="V12" i="14"/>
  <c r="AG1001" i="13"/>
  <c r="BB43" i="14" l="1"/>
  <c r="AG1003" i="13"/>
  <c r="S35" i="13" s="1"/>
  <c r="V43" i="14"/>
  <c r="T13" i="13"/>
  <c r="T16" i="13" s="1"/>
  <c r="AH1001" i="13"/>
  <c r="AH1003" i="13" l="1"/>
  <c r="T35" i="13" s="1"/>
  <c r="W40" i="14"/>
  <c r="W41" i="14"/>
  <c r="W37" i="14"/>
  <c r="W39" i="14"/>
  <c r="W38" i="14"/>
  <c r="W35" i="14"/>
  <c r="W36" i="14"/>
  <c r="W33" i="14"/>
  <c r="W34" i="14"/>
  <c r="W31" i="14"/>
  <c r="W32" i="14"/>
  <c r="W29" i="14"/>
  <c r="W30" i="14"/>
  <c r="W27" i="14"/>
  <c r="W28" i="14"/>
  <c r="W25" i="14"/>
  <c r="W26" i="14"/>
  <c r="W23" i="14"/>
  <c r="W24" i="14"/>
  <c r="W19" i="14"/>
  <c r="W22" i="14"/>
  <c r="W15" i="14"/>
  <c r="W16" i="14"/>
  <c r="W13" i="14"/>
  <c r="W14" i="14"/>
  <c r="P65" i="13"/>
  <c r="S996" i="13"/>
  <c r="F28" i="13"/>
  <c r="N43" i="14"/>
  <c r="W2030" i="14"/>
  <c r="W12" i="14"/>
  <c r="F34" i="13" l="1"/>
  <c r="F37" i="13" s="1"/>
  <c r="Y4" i="14"/>
  <c r="AJ1" i="14"/>
  <c r="T996" i="13" l="1"/>
  <c r="T1005" i="13" s="1"/>
  <c r="P67" i="13"/>
  <c r="G28" i="13"/>
  <c r="Z4" i="14"/>
  <c r="X4" i="14"/>
  <c r="X5" i="14" s="1"/>
  <c r="G34" i="13" l="1"/>
  <c r="G37" i="13" s="1"/>
  <c r="U996" i="13" l="1"/>
  <c r="U1005" i="13" s="1"/>
  <c r="H28" i="13"/>
  <c r="P69" i="13"/>
  <c r="H34" i="13" l="1"/>
  <c r="H37" i="13" s="1"/>
  <c r="V996" i="13" l="1"/>
  <c r="I28" i="13"/>
  <c r="P71" i="13"/>
  <c r="I34" i="13" l="1"/>
  <c r="I37" i="13" s="1"/>
  <c r="W996" i="13" l="1"/>
  <c r="P73" i="13"/>
  <c r="J28" i="13"/>
  <c r="J34" i="13" l="1"/>
  <c r="J37" i="13" s="1"/>
  <c r="K28" i="13" l="1"/>
  <c r="P75" i="13"/>
  <c r="X996" i="13"/>
  <c r="K34" i="13" l="1"/>
  <c r="K37" i="13" s="1"/>
  <c r="S57" i="13" l="1"/>
  <c r="Y996" i="13"/>
  <c r="Y1005" i="13" s="1"/>
  <c r="L28" i="13"/>
  <c r="L34" i="13" l="1"/>
  <c r="L37" i="13" s="1"/>
  <c r="S59" i="13" l="1"/>
  <c r="Z996" i="13"/>
  <c r="Z1005" i="13" s="1"/>
  <c r="M28" i="13"/>
  <c r="M34" i="13" l="1"/>
  <c r="M37" i="13" s="1"/>
  <c r="N28" i="13" l="1"/>
  <c r="S61" i="13"/>
  <c r="AA996" i="13"/>
  <c r="N34" i="13" l="1"/>
  <c r="N37" i="13" s="1"/>
  <c r="O28" i="13" l="1"/>
  <c r="AB996" i="13"/>
  <c r="AB1005" i="13" s="1"/>
  <c r="S63" i="13"/>
  <c r="O34" i="13" l="1"/>
  <c r="O37" i="13" s="1"/>
  <c r="S65" i="13" l="1"/>
  <c r="AC996" i="13"/>
  <c r="AC1005" i="13" s="1"/>
  <c r="P28" i="13"/>
  <c r="P34" i="13" l="1"/>
  <c r="P37" i="13" s="1"/>
  <c r="S67" i="13" l="1"/>
  <c r="AD996" i="13"/>
  <c r="AD1005" i="13" s="1"/>
  <c r="Q28" i="13"/>
  <c r="Q34" i="13" l="1"/>
  <c r="Q37" i="13" s="1"/>
  <c r="S69" i="13" l="1"/>
  <c r="AE996" i="13"/>
  <c r="AE1005" i="13" s="1"/>
  <c r="R28" i="13"/>
  <c r="R34" i="13" l="1"/>
  <c r="R37" i="13" s="1"/>
  <c r="AF996" i="13" l="1"/>
  <c r="AF1005" i="13" s="1"/>
  <c r="S28" i="13"/>
  <c r="S71" i="13"/>
  <c r="S34" i="13" l="1"/>
  <c r="S37" i="13" s="1"/>
  <c r="AG996" i="13" l="1"/>
  <c r="AG1005" i="13" s="1"/>
  <c r="S73" i="13"/>
  <c r="T28" i="13"/>
  <c r="T34" i="13" l="1"/>
  <c r="T37" i="13" s="1"/>
  <c r="S75" i="13" l="1"/>
  <c r="AH996" i="13"/>
  <c r="AH1005" i="13" s="1"/>
  <c r="AI1004" i="13" s="1"/>
  <c r="T38" i="13" s="1"/>
  <c r="S38" i="13" l="1"/>
  <c r="J17" i="13"/>
  <c r="M38" i="13"/>
  <c r="M17" i="13"/>
  <c r="K17" i="13"/>
  <c r="Q17" i="13"/>
  <c r="R38" i="13"/>
  <c r="F38" i="13"/>
  <c r="P17" i="13"/>
  <c r="I38" i="13"/>
  <c r="N17" i="13"/>
  <c r="R17" i="13"/>
  <c r="K38" i="13"/>
  <c r="S17" i="13"/>
  <c r="H17" i="13"/>
  <c r="O17" i="13"/>
  <c r="O38" i="13"/>
  <c r="E17" i="13"/>
  <c r="H38" i="13"/>
  <c r="G17" i="13"/>
  <c r="F17" i="13"/>
  <c r="L17" i="13"/>
  <c r="T17" i="13"/>
  <c r="G38" i="13"/>
  <c r="B48" i="13" s="1"/>
  <c r="J38" i="13"/>
  <c r="P38" i="13"/>
  <c r="Q38" i="13"/>
  <c r="I17" i="13"/>
  <c r="L38" i="13"/>
  <c r="N38" i="13"/>
  <c r="A48" i="13" l="1"/>
</calcChain>
</file>

<file path=xl/sharedStrings.xml><?xml version="1.0" encoding="utf-8"?>
<sst xmlns="http://schemas.openxmlformats.org/spreadsheetml/2006/main" count="540" uniqueCount="247">
  <si>
    <t>Version:</t>
  </si>
  <si>
    <t>Association Name:</t>
  </si>
  <si>
    <t>City:</t>
  </si>
  <si>
    <t>State:</t>
  </si>
  <si>
    <t>Reference Number:</t>
  </si>
  <si>
    <t>Length of Study (Years):</t>
  </si>
  <si>
    <t>Number of Units:</t>
  </si>
  <si>
    <t>Date of Inspection:</t>
  </si>
  <si>
    <t>Current Fiscal Year:</t>
  </si>
  <si>
    <t>Fiscal Year Beginning:</t>
  </si>
  <si>
    <t>First Year of Recommendation:</t>
  </si>
  <si>
    <t>Remaining Budgeted Intervals:</t>
  </si>
  <si>
    <t>Remaining Budgeted Months of Interest:</t>
  </si>
  <si>
    <t>Beginning Reserve Balance Date:</t>
  </si>
  <si>
    <t>Reserve Balance Projected:</t>
  </si>
  <si>
    <t>Near Term Inflation:</t>
  </si>
  <si>
    <t>Last Year of Near Term Inflation:</t>
  </si>
  <si>
    <t>Remaining Study Inflation:</t>
  </si>
  <si>
    <t>Interest:</t>
  </si>
  <si>
    <t>Frequency of Contributions:</t>
  </si>
  <si>
    <t>Currency Symbol:</t>
  </si>
  <si>
    <t>Rounded_by:</t>
  </si>
  <si>
    <t>Operating_Budget:</t>
  </si>
  <si>
    <t>Property_Type:</t>
  </si>
  <si>
    <t>Expenditure Sheet Controls:</t>
  </si>
  <si>
    <t>Column Range Address</t>
  </si>
  <si>
    <t>Column Name</t>
  </si>
  <si>
    <t>Description</t>
  </si>
  <si>
    <t>Column C</t>
  </si>
  <si>
    <t>Frequency of Events</t>
  </si>
  <si>
    <t>Column E</t>
  </si>
  <si>
    <t>Events Per Phase</t>
  </si>
  <si>
    <t>This value can be edited to phase an event. Ex: The user wants to include three phases of an event.  The user would change the value in Column E to a value of "3".</t>
  </si>
  <si>
    <t>Column F</t>
  </si>
  <si>
    <t>Next Full Replacement</t>
  </si>
  <si>
    <t>Column G</t>
  </si>
  <si>
    <t>Useful Life</t>
  </si>
  <si>
    <t>Column R</t>
  </si>
  <si>
    <t>Costs $ (Unit)</t>
  </si>
  <si>
    <t>Column S</t>
  </si>
  <si>
    <t>Costs, $ (Percentage Ownership)</t>
  </si>
  <si>
    <t>Columns X through BB</t>
  </si>
  <si>
    <t>Years of Expenditures</t>
  </si>
  <si>
    <t>Funding Sheet Controls</t>
  </si>
  <si>
    <t>Range Address</t>
  </si>
  <si>
    <t>Cell L21</t>
  </si>
  <si>
    <t>Single Increase</t>
  </si>
  <si>
    <t>A dollar amount entered in this cell will show up in the Funding Plan as a Single Year increase in the first non-budgeted year.</t>
  </si>
  <si>
    <t>Cells N21 and N22</t>
  </si>
  <si>
    <t>Phased Increase</t>
  </si>
  <si>
    <t>A dollar amount (N21) and number of years (N22) entered in these cells will increase Reserve Contributions by the amount specified beginning in the first non-budgeted year and concluding in the number of years entered]</t>
  </si>
  <si>
    <t>Cells P21, P22 and P23</t>
  </si>
  <si>
    <t>Stable</t>
  </si>
  <si>
    <t>A dollar amount (P21), beginning year (P22) and ending year (P23) will stabilize Reserve Contributions over the specified year range</t>
  </si>
  <si>
    <t>Cells R21 and R22</t>
  </si>
  <si>
    <t>Decrease</t>
  </si>
  <si>
    <t>A dollar amount (R21), and a year (R22) will decrease the contributions to the specified amount in the specified year</t>
  </si>
  <si>
    <t>Cells T21 and T22</t>
  </si>
  <si>
    <t>2nd Decrease</t>
  </si>
  <si>
    <t>A dollar amount (T21), and a year (T22) will decrease the contributions to the specified amount in the specified year</t>
  </si>
  <si>
    <t>RESERVE EXPENDITURES</t>
  </si>
  <si>
    <t>Explanatory Notes:</t>
  </si>
  <si>
    <t>1)</t>
  </si>
  <si>
    <t>2)</t>
  </si>
  <si>
    <t>3)</t>
  </si>
  <si>
    <t xml:space="preserve"> </t>
  </si>
  <si>
    <t>Estimated</t>
  </si>
  <si>
    <t>Life Analysis,</t>
  </si>
  <si>
    <t>Costs, $</t>
  </si>
  <si>
    <t>Percentage</t>
  </si>
  <si>
    <t>Partial</t>
  </si>
  <si>
    <t>Frequency</t>
  </si>
  <si>
    <t>Length</t>
  </si>
  <si>
    <t>Events</t>
  </si>
  <si>
    <t>Next Full</t>
  </si>
  <si>
    <t>Useful</t>
  </si>
  <si>
    <t>Round</t>
  </si>
  <si>
    <t>Line</t>
  </si>
  <si>
    <t>Total</t>
  </si>
  <si>
    <t>Per Phase</t>
  </si>
  <si>
    <t>1st Year of</t>
  </si>
  <si>
    <t>Years</t>
  </si>
  <si>
    <t>Unit</t>
  </si>
  <si>
    <t>30-Year Total</t>
  </si>
  <si>
    <t>of Future</t>
  </si>
  <si>
    <t>Quantity</t>
  </si>
  <si>
    <t>of Events</t>
  </si>
  <si>
    <t>of Phase</t>
  </si>
  <si>
    <t xml:space="preserve"> Repl.</t>
  </si>
  <si>
    <t>Life</t>
  </si>
  <si>
    <t>Phase</t>
  </si>
  <si>
    <t>Item</t>
  </si>
  <si>
    <t>Units</t>
  </si>
  <si>
    <t>Reserve Component Inventory</t>
  </si>
  <si>
    <t>Event</t>
  </si>
  <si>
    <t>Remaining</t>
  </si>
  <si>
    <t>Ownership</t>
  </si>
  <si>
    <t>(Inflated)</t>
  </si>
  <si>
    <t>Expenditures</t>
  </si>
  <si>
    <t>-</t>
  </si>
  <si>
    <t>RESERVE FUNDING PLAN</t>
  </si>
  <si>
    <t/>
  </si>
  <si>
    <t>CASH FLOW ANALYSIS</t>
  </si>
  <si>
    <t>Individual Reserve Budgets &amp; Cash Flows for the Next 30 Years</t>
  </si>
  <si>
    <t>Reserves at Beginning of Year</t>
  </si>
  <si>
    <t>(Note 1)</t>
  </si>
  <si>
    <t xml:space="preserve">Recommended Reserve Contributions </t>
  </si>
  <si>
    <t>Additional Reserve Contributions</t>
  </si>
  <si>
    <t>Additional Assessment</t>
  </si>
  <si>
    <t>Total Recommended Reserve Contributions</t>
  </si>
  <si>
    <t>(Note 2)</t>
  </si>
  <si>
    <t xml:space="preserve">           Anticipated Interest Rate</t>
  </si>
  <si>
    <t>Estimated Interest Earned, During Year</t>
  </si>
  <si>
    <t>(Note 3)</t>
  </si>
  <si>
    <t>Anticipated Expenditures, By Year</t>
  </si>
  <si>
    <t>Anticipated Reserves at Year End</t>
  </si>
  <si>
    <t>Phased Increases</t>
  </si>
  <si>
    <t>Flatline</t>
  </si>
  <si>
    <t>Amount:</t>
  </si>
  <si>
    <t>Increase:</t>
  </si>
  <si>
    <t># Years:</t>
  </si>
  <si>
    <t>Begin Year:</t>
  </si>
  <si>
    <t>Year:</t>
  </si>
  <si>
    <t>End Year:</t>
  </si>
  <si>
    <t>(continued)</t>
  </si>
  <si>
    <t>Individual Reserve Budgets &amp; Cash Flows for the Next 30 Years, Continued</t>
  </si>
  <si>
    <t xml:space="preserve">Total Recommended Reserve Contributions </t>
  </si>
  <si>
    <t>4)</t>
  </si>
  <si>
    <t>Recommended Reserve Funding Table</t>
  </si>
  <si>
    <t>Funding Plan Settings</t>
  </si>
  <si>
    <t>First Non-Budgeted Year:</t>
  </si>
  <si>
    <t>Year</t>
  </si>
  <si>
    <t>Reserve Contributions</t>
  </si>
  <si>
    <t>Reserve Balances</t>
  </si>
  <si>
    <t>Reserve Balance ($):</t>
  </si>
  <si>
    <t>Reserve Balance Date:</t>
  </si>
  <si>
    <t>Current Year Contributions ($):</t>
  </si>
  <si>
    <t>Next Year Contributions ($):</t>
  </si>
  <si>
    <t>Inflation Rate:</t>
  </si>
  <si>
    <t>Remaining Budgeted Periods:</t>
  </si>
  <si>
    <t>Total Budgeted Periods:</t>
  </si>
  <si>
    <t>Round Funding To ($):</t>
  </si>
  <si>
    <t>Additional Assessments</t>
  </si>
  <si>
    <t>Reserve Balance</t>
  </si>
  <si>
    <t>Reference Expenditure Sheets</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</si>
  <si>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</si>
  <si>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</si>
  <si>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</si>
  <si>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</si>
  <si>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</si>
  <si>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</si>
  <si>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</si>
  <si>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</si>
  <si>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</si>
  <si>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</si>
  <si>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</si>
  <si>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</si>
  <si>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</si>
  <si>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</si>
  <si>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</si>
  <si>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</si>
  <si>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</si>
  <si>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</si>
  <si>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</si>
  <si>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</si>
  <si>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</si>
  <si>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</si>
  <si>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</si>
  <si>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</si>
  <si>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</si>
  <si>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</si>
  <si>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</si>
  <si>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</si>
  <si>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</si>
  <si>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</si>
  <si>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</si>
  <si>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&lt; Copy Formula to a blank cell to show an Inflated Cost outside the regular timing intervals defined by columns B through G</t>
  </si>
  <si>
    <t>% Above Min For Threshold:</t>
  </si>
  <si>
    <t xml:space="preserve">If an event is phased using Column E, the user can control the years in between each phase of the component. </t>
  </si>
  <si>
    <t xml:space="preserve">This value can be edited to change the first year occurrence of an event. </t>
  </si>
  <si>
    <t>This value can be edited to change how often the event will occur after the initial event. Ex: The user wants to change the frequency of a replacement event from 20 years to 15 years.  The user would change the value in Column G to a value of "15".</t>
  </si>
  <si>
    <t>This value can be edited to update the per unit cost for a component. Ex: The user wants to update the unit cost for a component from $800.00 to $1,200.00. The user would change the value in Column R to a value of "1,200.00".</t>
  </si>
  <si>
    <t xml:space="preserve">IF APPLICABLE to your study, this column includes the percentage of ownership that the entity is responsible to pay. </t>
  </si>
  <si>
    <t xml:space="preserve">To apply an additional inflated expense in any year within these columns, Copy and Paste the Formula from cell Y5 onto the Line Item and in the year you would like to show the inflated cost. </t>
  </si>
  <si>
    <t>Number of Buildings:</t>
  </si>
  <si>
    <t>v7.0</t>
  </si>
  <si>
    <t xml:space="preserve">2nd Flatline </t>
  </si>
  <si>
    <t>Sterling Woods, LLC</t>
  </si>
  <si>
    <t>Port Jefferson Station</t>
  </si>
  <si>
    <t>New York</t>
  </si>
  <si>
    <t>232892</t>
  </si>
  <si>
    <t>No</t>
  </si>
  <si>
    <t>$</t>
  </si>
  <si>
    <t>townhome</t>
  </si>
  <si>
    <t>Sterling Woods</t>
  </si>
  <si>
    <t>LLC</t>
  </si>
  <si>
    <t>Port Jefferson Station, NY</t>
  </si>
  <si>
    <t>Year 2025 starting reserves are as of February 15, 2025; FY2025 starts January 1, 2025 and ends December 31, 2025.</t>
  </si>
  <si>
    <t>Accumulated year 2055 ending reserves consider the age, size, overall condition and complexity of the property.</t>
  </si>
  <si>
    <t>FY2025</t>
  </si>
  <si>
    <t>is Fiscal Year beginning January 1, 2025 and ending December 31, 2025.</t>
  </si>
  <si>
    <t>Exterior Building Elements</t>
  </si>
  <si>
    <t>Each</t>
  </si>
  <si>
    <t>Doors, Fire Control Panel Rooms</t>
  </si>
  <si>
    <t>to 30</t>
  </si>
  <si>
    <t>Linear Feet</t>
  </si>
  <si>
    <t>Gutters and Downspouts, Aluminum, Remaining Original, Phased</t>
  </si>
  <si>
    <t>20 to 25</t>
  </si>
  <si>
    <t>Gutters and Downspouts, Aluminum, Replaced</t>
  </si>
  <si>
    <t>Squares</t>
  </si>
  <si>
    <t>Roofs, Asphalt Shingles, Phased</t>
  </si>
  <si>
    <t>Square Feet</t>
  </si>
  <si>
    <t>Walls, Siding, Vinyl, Phased</t>
  </si>
  <si>
    <t>to 35</t>
  </si>
  <si>
    <t>Building Services Elements</t>
  </si>
  <si>
    <t>Allowance</t>
  </si>
  <si>
    <t>Life Safety Systems, Control Panels and Emergency Devices, Phased</t>
  </si>
  <si>
    <t>to 25</t>
  </si>
  <si>
    <t>Property Site Elements</t>
  </si>
  <si>
    <t>Square Yards</t>
  </si>
  <si>
    <t>Asphalt Pavement, Crack Repair, Patch, and Striping</t>
  </si>
  <si>
    <t>3 to 5</t>
  </si>
  <si>
    <t>Asphalt Pavement, Driveways, Total Replacement</t>
  </si>
  <si>
    <t>15 to 20</t>
  </si>
  <si>
    <t>Asphalt Pavement, Street and Parking Areas, Mill and Overlay</t>
  </si>
  <si>
    <t>Asphalt Pavement, Street and Parking Areas, Total Replacement</t>
  </si>
  <si>
    <t>Catch Basins, Inspections and Capital Repairs</t>
  </si>
  <si>
    <t>Curbs, Granite</t>
  </si>
  <si>
    <t>to 65</t>
  </si>
  <si>
    <t>Fences, Vinyl, Privacy</t>
  </si>
  <si>
    <t>Gazebo</t>
  </si>
  <si>
    <t>Irrigation System, Pumps</t>
  </si>
  <si>
    <t>to 20</t>
  </si>
  <si>
    <t>Irrigation System, Replacement, Phased</t>
  </si>
  <si>
    <t>to 40+</t>
  </si>
  <si>
    <t>Lift Station, Generator, Emergency (incl. transfer switch)</t>
  </si>
  <si>
    <t>Lift Station, Pumps</t>
  </si>
  <si>
    <t>to 10</t>
  </si>
  <si>
    <t>Lift Station, Rebuild</t>
  </si>
  <si>
    <t>Light Poles and Fixtures</t>
  </si>
  <si>
    <t>Mailbox Stations</t>
  </si>
  <si>
    <t>Pavers, Masonry, Resetting and Partial Replacements</t>
  </si>
  <si>
    <t>Pond, Aerator</t>
  </si>
  <si>
    <t>10 to 15</t>
  </si>
  <si>
    <t>Pond, Sediment Removal</t>
  </si>
  <si>
    <t>Shade Structure</t>
  </si>
  <si>
    <t>Signage, Community Identification, Renovation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</si>
</sst>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164" formatCode=";;;"/>
    <numFmt numFmtId="165" formatCode="[$$-409]#,##0_);[Red]\([$$-409]#,##0\)"/>
    <numFmt numFmtId="166" formatCode="&quot;RUL = &quot;0"/>
    <numFmt numFmtId="167" formatCode="&quot;FY&quot;0"/>
    <numFmt numFmtId="168" formatCode="0.0%"/>
    <numFmt numFmtId="169" formatCode="&quot;FY&quot;0000"/>
    <numFmt numFmtId="170" formatCode="0;[Red]\-0"/>
    <numFmt numFmtId="171" formatCode="0_);[Red]\(0\)"/>
    <numFmt numFmtId="172" formatCode="#,##0;[Red]\-#,##0"/>
    <numFmt numFmtId="173" formatCode="&quot;$&quot;#,##0;[Red]&quot;$&quot;#,##0"/>
    <numFmt numFmtId="174" formatCode="&quot;$&quot;#,##0"/>
    <numFmt numFmtId="175" formatCode="&quot;$&quot;#,##0.00"/>
    <numFmt numFmtId="176" formatCode="0.000"/>
    <numFmt numFmtId="177" formatCode="0.0"/>
  </numFmts>
  <fonts count="51" x14ac:knownFonts="1">
    <font>
      <sz val="11"/>
      <color theme="1"/>
      <name val="Calibri"/>
      <family val="2"/>
      <scheme val="minor"/>
    </font>
    <font>
      <sz val="11"/>
      <color theme="1"/>
      <name val="Calibri"/>
      <family val="2"/>
      <scheme val="minor"/>
    </font>
    <font>
      <sz val="8"/>
      <color rgb="FF013220"/>
      <name val="Arial Narrow"/>
      <family val="2"/>
    </font>
    <font>
      <sz val="14"/>
      <name val="Arial Narrow"/>
      <family val="2"/>
    </font>
    <font>
      <sz val="12"/>
      <name val="Arial"/>
      <family val="2"/>
    </font>
    <font>
      <b/>
      <sz val="14"/>
      <name val="Arial Narrow"/>
      <family val="2"/>
    </font>
    <font>
      <sz val="12"/>
      <name val="Arial Narrow"/>
      <family val="2"/>
    </font>
    <font>
      <b/>
      <u/>
      <sz val="24"/>
      <name val="Arial"/>
      <family val="2"/>
    </font>
    <font>
      <b/>
      <sz val="16"/>
      <name val="Arial Narrow"/>
      <family val="2"/>
    </font>
    <font>
      <b/>
      <sz val="18"/>
      <name val="Arial Narrow"/>
      <family val="2"/>
    </font>
    <font>
      <sz val="10"/>
      <name val="Arial"/>
      <family val="2"/>
    </font>
    <font>
      <sz val="11"/>
      <name val="Arial"/>
      <family val="2"/>
    </font>
    <font>
      <sz val="11"/>
      <color rgb="FF000000"/>
      <name val="Arial Narrow"/>
      <family val="2"/>
    </font>
    <font>
      <u/>
      <sz val="12"/>
      <name val="Arial"/>
      <family val="2"/>
    </font>
    <font>
      <sz val="11"/>
      <name val="Arial Narrow"/>
      <family val="2"/>
    </font>
    <font>
      <sz val="10"/>
      <name val="Arial Narrow"/>
      <family val="2"/>
    </font>
    <font>
      <sz val="14"/>
      <name val="Arial"/>
      <family val="2"/>
    </font>
    <font>
      <b/>
      <sz val="14"/>
      <name val="Arial"/>
      <family val="2"/>
    </font>
    <font>
      <b/>
      <u/>
      <sz val="14"/>
      <name val="Arial"/>
      <family val="2"/>
    </font>
    <font>
      <b/>
      <sz val="14"/>
      <color rgb="FF0000FF"/>
      <name val="Arial"/>
      <family val="2"/>
    </font>
    <font>
      <b/>
      <sz val="14"/>
      <color rgb="FF0000FF"/>
      <name val="Arial Narrow"/>
      <family val="2"/>
    </font>
    <font>
      <b/>
      <i/>
      <u/>
      <sz val="16"/>
      <color rgb="FF000000"/>
      <name val="Arial"/>
      <family val="2"/>
    </font>
    <font>
      <sz val="14"/>
      <color rgb="FF000000"/>
      <name val="Arial Narrow"/>
      <family val="2"/>
    </font>
    <font>
      <sz val="12"/>
      <color rgb="FF000000"/>
      <name val="Arial"/>
      <family val="2"/>
    </font>
    <font>
      <b/>
      <sz val="12"/>
      <name val="Arial"/>
      <family val="2"/>
    </font>
    <font>
      <sz val="14"/>
      <color theme="1"/>
      <name val="Arial Narrow"/>
      <family val="2"/>
    </font>
    <font>
      <b/>
      <sz val="14"/>
      <color rgb="FF000000"/>
      <name val="Arial Narrow"/>
      <family val="2"/>
    </font>
    <font>
      <b/>
      <sz val="14"/>
      <color theme="1"/>
      <name val="Arial Narrow"/>
      <family val="2"/>
    </font>
    <font>
      <sz val="24"/>
      <name val="Arial"/>
      <family val="2"/>
    </font>
    <font>
      <sz val="20"/>
      <color rgb="FF0000FF"/>
      <name val="Arial"/>
      <family val="2"/>
    </font>
    <font>
      <sz val="12"/>
      <color rgb="FFFF0000"/>
      <name val="Arial"/>
      <family val="2"/>
    </font>
    <font>
      <u/>
      <sz val="14"/>
      <name val="Arial Narrow"/>
      <family val="2"/>
    </font>
    <font>
      <b/>
      <i/>
      <sz val="14"/>
      <color rgb="FF310FFD"/>
      <name val="Arial Narrow"/>
      <family val="2"/>
    </font>
    <font>
      <u val="double"/>
      <sz val="14"/>
      <name val="Arial Narrow"/>
      <family val="2"/>
    </font>
    <font>
      <b/>
      <i/>
      <sz val="13"/>
      <color rgb="FF310FFD"/>
      <name val="Arial Narrow"/>
      <family val="2"/>
    </font>
    <font>
      <b/>
      <u/>
      <sz val="14"/>
      <name val="Arial Narrow"/>
      <family val="2"/>
    </font>
    <font>
      <b/>
      <sz val="14"/>
      <color rgb="FF310FFD"/>
      <name val="Arial Narrow"/>
      <family val="2"/>
    </font>
    <font>
      <b/>
      <sz val="18"/>
      <color theme="1"/>
      <name val="Calibri"/>
      <family val="2"/>
      <scheme val="minor"/>
    </font>
    <font>
      <b/>
      <sz val="12"/>
      <name val="Calibri Light"/>
      <family val="2"/>
      <scheme val="major"/>
    </font>
    <font>
      <b/>
      <sz val="12"/>
      <name val="Arial Narrow"/>
      <family val="2"/>
    </font>
    <font>
      <b/>
      <sz val="12"/>
      <color theme="1"/>
      <name val="Calibri Light"/>
      <family val="2"/>
      <scheme val="major"/>
    </font>
    <font>
      <sz val="12"/>
      <name val="Calibri Light"/>
      <family val="2"/>
      <scheme val="major"/>
    </font>
    <font>
      <sz val="12"/>
      <color indexed="8"/>
      <name val="Arial Narrow"/>
      <family val="2"/>
    </font>
    <font>
      <sz val="14"/>
      <color indexed="8"/>
      <name val="Arial Narrow"/>
      <family val="2"/>
    </font>
    <font>
      <b/>
      <sz val="11"/>
      <color theme="1"/>
      <name val="Calibri"/>
      <family val="2"/>
      <scheme val="minor"/>
    </font>
    <font>
      <sz val="10"/>
      <color rgb="FF013220"/>
      <name val="Arial Narrow"/>
      <family val="2"/>
    </font>
    <font>
      <sz val="11"/>
      <name val="Calibri"/>
      <family val="2"/>
      <scheme val="minor"/>
    </font>
    <font>
      <b/>
      <sz val="11"/>
      <name val="Calibri"/>
      <family val="2"/>
      <scheme val="minor"/>
    </font>
    <font>
      <b/>
      <sz val="14"/>
      <color theme="1"/>
      <name val="Arial"/>
      <family val="2"/>
    </font>
    <font>
      <sz val="11"/>
      <color rgb="FFFFFFFF"/>
      <name val="Calibri"/>
      <family val="2"/>
      <scheme val="minor"/>
    </font>
    <font>
      <b/>
      <u/>
      <sz val="14"/>
      <color theme="1"/>
      <name val="Arial Narrow"/>
      <family val="2"/>
    </font>
  </fonts>
  <fills count="10">
    <fill>
      <patternFill patternType="none"/>
    </fill>
    <fill>
      <patternFill patternType="gray125"/>
    </fill>
    <fill>
      <patternFill patternType="solid">
        <fgColor rgb="FFF0F0F0"/>
        <bgColor indexed="64"/>
      </patternFill>
    </fill>
    <fill>
      <patternFill patternType="solid">
        <fgColor rgb="FFFFFFFF"/>
        <bgColor indexed="64"/>
      </patternFill>
    </fill>
    <fill>
      <patternFill patternType="solid">
        <fgColor rgb="FFCCFFCC"/>
        <bgColor indexed="64"/>
      </patternFill>
    </fill>
    <fill>
      <patternFill patternType="solid">
        <fgColor rgb="FFCCFFCC"/>
        <bgColor rgb="FFFFFFFF"/>
      </patternFill>
    </fill>
    <fill>
      <patternFill patternType="solid">
        <fgColor rgb="FFC5D9F1"/>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000000"/>
      </patternFill>
    </fill>
  </fills>
  <borders count="41">
    <border>
      <left/>
      <right/>
      <top/>
      <bottom/>
      <diagonal/>
    </border>
    <border>
      <left/>
      <right/>
      <top style="thin">
        <color rgb="FF000000"/>
      </top>
      <bottom/>
      <diagonal/>
    </border>
    <border>
      <left/>
      <right/>
      <top/>
      <bottom style="thin">
        <color auto="1"/>
      </bottom>
      <diagonal/>
    </border>
    <border>
      <left/>
      <right/>
      <top/>
      <bottom style="thin">
        <color rgb="FF000000"/>
      </bottom>
      <diagonal/>
    </border>
    <border>
      <left/>
      <right/>
      <top style="medium">
        <color rgb="FF000000"/>
      </top>
      <bottom/>
      <diagonal/>
    </border>
    <border>
      <left/>
      <right/>
      <top style="medium">
        <color rgb="FF000000"/>
      </top>
      <bottom style="thin">
        <color indexed="64"/>
      </bottom>
      <diagonal/>
    </border>
    <border>
      <left/>
      <right/>
      <top style="thin">
        <color auto="1"/>
      </top>
      <bottom/>
      <diagonal/>
    </border>
    <border>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ck">
        <color rgb="FF006600"/>
      </left>
      <right style="thin">
        <color indexed="64"/>
      </right>
      <top style="thick">
        <color rgb="FF006600"/>
      </top>
      <bottom style="thin">
        <color indexed="64"/>
      </bottom>
      <diagonal/>
    </border>
    <border>
      <left style="thin">
        <color indexed="64"/>
      </left>
      <right style="thin">
        <color indexed="64"/>
      </right>
      <top style="thick">
        <color rgb="FF006600"/>
      </top>
      <bottom style="thin">
        <color indexed="64"/>
      </bottom>
      <diagonal/>
    </border>
    <border>
      <left style="thin">
        <color indexed="64"/>
      </left>
      <right style="thick">
        <color rgb="FF006600"/>
      </right>
      <top style="thick">
        <color rgb="FF006600"/>
      </top>
      <bottom style="thin">
        <color indexed="64"/>
      </bottom>
      <diagonal/>
    </border>
    <border>
      <left style="thick">
        <color rgb="FF006600"/>
      </left>
      <right style="thin">
        <color indexed="64"/>
      </right>
      <top style="thin">
        <color indexed="64"/>
      </top>
      <bottom style="thin">
        <color indexed="64"/>
      </bottom>
      <diagonal/>
    </border>
    <border>
      <left style="thin">
        <color indexed="64"/>
      </left>
      <right style="thick">
        <color rgb="FF006600"/>
      </right>
      <top style="thin">
        <color indexed="64"/>
      </top>
      <bottom style="thin">
        <color indexed="64"/>
      </bottom>
      <diagonal/>
    </border>
    <border>
      <left style="thick">
        <color rgb="FF006600"/>
      </left>
      <right style="thin">
        <color indexed="64"/>
      </right>
      <top style="thin">
        <color indexed="64"/>
      </top>
      <bottom style="thick">
        <color rgb="FF006600"/>
      </bottom>
      <diagonal/>
    </border>
    <border>
      <left style="thin">
        <color indexed="64"/>
      </left>
      <right style="thin">
        <color indexed="64"/>
      </right>
      <top style="thin">
        <color indexed="64"/>
      </top>
      <bottom style="thick">
        <color rgb="FF006600"/>
      </bottom>
      <diagonal/>
    </border>
    <border>
      <left style="thin">
        <color indexed="64"/>
      </left>
      <right style="thick">
        <color rgb="FF006600"/>
      </right>
      <top style="thin">
        <color indexed="64"/>
      </top>
      <bottom style="thick">
        <color rgb="FF0066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9"/>
      </bottom>
      <diagonal/>
    </border>
    <border>
      <left style="medium">
        <color indexed="64"/>
      </left>
      <right/>
      <top/>
      <bottom style="thin">
        <color theme="9"/>
      </bottom>
      <diagonal/>
    </border>
    <border>
      <left/>
      <right style="medium">
        <color indexed="64"/>
      </right>
      <top/>
      <bottom style="thin">
        <color theme="9"/>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indexed="64"/>
      </left>
      <right/>
      <top style="medium">
        <color indexed="64"/>
      </top>
      <bottom style="medium">
        <color theme="9" tint="-0.499984740745262"/>
      </bottom>
      <diagonal/>
    </border>
    <border>
      <left/>
      <right/>
      <top style="medium">
        <color indexed="64"/>
      </top>
      <bottom style="medium">
        <color theme="9" tint="-0.499984740745262"/>
      </bottom>
      <diagonal/>
    </border>
    <border>
      <left/>
      <right style="medium">
        <color indexed="64"/>
      </right>
      <top style="medium">
        <color indexed="64"/>
      </top>
      <bottom style="medium">
        <color theme="9" tint="-0.499984740745262"/>
      </bottom>
      <diagonal/>
    </border>
  </borders>
  <cellStyleXfs count="2">
    <xf numFmtId="0" fontId="0" fillId="0" borderId="0"/>
    <xf numFmtId="9" fontId="1" fillId="0" borderId="0" applyFont="0" applyFill="0" applyBorder="0" applyAlignment="0" applyProtection="0"/>
  </cellStyleXfs>
  <cellXfs count="320">
    <xf numFmtId="0" fontId="0" fillId="0" borderId="0" xfId="0"/>
    <xf numFmtId="164" fontId="0" fillId="0" borderId="0" xfId="0" applyNumberFormat="1"/>
    <xf numFmtId="0" fontId="25" fillId="0" borderId="0" xfId="0" applyFont="1" applyAlignment="1">
      <alignment horizontal="fill" vertical="center"/>
    </xf>
    <xf numFmtId="0" fontId="25" fillId="0" borderId="0" xfId="0" applyFont="1"/>
    <xf numFmtId="0" fontId="27" fillId="0" borderId="0" xfId="0" applyFont="1"/>
    <xf numFmtId="0" fontId="25" fillId="0" borderId="0" xfId="0" applyFont="1" applyAlignment="1">
      <alignment vertical="center"/>
    </xf>
    <xf numFmtId="10" fontId="27" fillId="0" borderId="0" xfId="0" applyNumberFormat="1" applyFont="1"/>
    <xf numFmtId="0" fontId="25" fillId="3" borderId="0" xfId="0" applyFont="1" applyFill="1" applyAlignment="1">
      <alignment horizontal="center"/>
    </xf>
    <xf numFmtId="3" fontId="25" fillId="3" borderId="0" xfId="0" applyNumberFormat="1" applyFont="1" applyFill="1" applyAlignment="1">
      <alignment horizontal="center"/>
    </xf>
    <xf numFmtId="2" fontId="25" fillId="3" borderId="0" xfId="0" applyNumberFormat="1" applyFont="1" applyFill="1" applyAlignment="1">
      <alignment horizontal="center"/>
    </xf>
    <xf numFmtId="0" fontId="25" fillId="3" borderId="0" xfId="0" applyFont="1" applyFill="1"/>
    <xf numFmtId="3" fontId="25" fillId="2" borderId="0" xfId="0" applyNumberFormat="1" applyFont="1" applyFill="1" applyAlignment="1">
      <alignment horizontal="center"/>
    </xf>
    <xf numFmtId="0" fontId="25" fillId="2" borderId="0" xfId="0" applyFont="1" applyFill="1" applyAlignment="1">
      <alignment horizontal="center"/>
    </xf>
    <xf numFmtId="1" fontId="25" fillId="2" borderId="0" xfId="0" applyNumberFormat="1" applyFont="1" applyFill="1" applyAlignment="1">
      <alignment horizontal="center"/>
    </xf>
    <xf numFmtId="0" fontId="25" fillId="3" borderId="0" xfId="0" applyFont="1" applyFill="1" applyAlignment="1">
      <alignment horizontal="fill" vertical="center"/>
    </xf>
    <xf numFmtId="165" fontId="25" fillId="3" borderId="0" xfId="0" applyNumberFormat="1" applyFont="1" applyFill="1" applyAlignment="1">
      <alignment horizontal="fill" vertical="center"/>
    </xf>
    <xf numFmtId="3" fontId="25" fillId="3" borderId="0" xfId="0" applyNumberFormat="1" applyFont="1" applyFill="1" applyAlignment="1">
      <alignment horizontal="fill" vertical="center"/>
    </xf>
    <xf numFmtId="9" fontId="25" fillId="3" borderId="0" xfId="0" applyNumberFormat="1" applyFont="1" applyFill="1" applyAlignment="1">
      <alignment horizontal="fill" vertical="center"/>
    </xf>
    <xf numFmtId="0" fontId="27" fillId="3" borderId="0" xfId="0" applyFont="1" applyFill="1"/>
    <xf numFmtId="165" fontId="22" fillId="5" borderId="1" xfId="0" applyNumberFormat="1" applyFont="1" applyFill="1" applyBorder="1" applyProtection="1">
      <protection locked="0"/>
    </xf>
    <xf numFmtId="165" fontId="22" fillId="5" borderId="0" xfId="0" applyNumberFormat="1" applyFont="1" applyFill="1" applyProtection="1">
      <protection locked="0"/>
    </xf>
    <xf numFmtId="165" fontId="26" fillId="5" borderId="1" xfId="0" applyNumberFormat="1" applyFont="1" applyFill="1" applyBorder="1" applyProtection="1">
      <protection locked="0"/>
    </xf>
    <xf numFmtId="37" fontId="22" fillId="5" borderId="1" xfId="0" applyNumberFormat="1" applyFont="1" applyFill="1" applyBorder="1" applyAlignment="1">
      <alignment horizontal="right"/>
    </xf>
    <xf numFmtId="165" fontId="26" fillId="5" borderId="0" xfId="0" applyNumberFormat="1" applyFont="1" applyFill="1" applyProtection="1">
      <protection locked="0"/>
    </xf>
    <xf numFmtId="37" fontId="22" fillId="5" borderId="0" xfId="0" applyNumberFormat="1" applyFont="1" applyFill="1" applyAlignment="1">
      <alignment horizontal="right"/>
    </xf>
    <xf numFmtId="165" fontId="22" fillId="5" borderId="3" xfId="0" applyNumberFormat="1" applyFont="1" applyFill="1" applyBorder="1" applyProtection="1">
      <protection locked="0"/>
    </xf>
    <xf numFmtId="165" fontId="32" fillId="5" borderId="1" xfId="0" applyNumberFormat="1" applyFont="1" applyFill="1" applyBorder="1" applyAlignment="1" applyProtection="1">
      <alignment horizontal="right"/>
      <protection locked="0"/>
    </xf>
    <xf numFmtId="37" fontId="26" fillId="5" borderId="1" xfId="0" applyNumberFormat="1" applyFont="1" applyFill="1" applyBorder="1" applyAlignment="1">
      <alignment horizontal="right"/>
    </xf>
    <xf numFmtId="165" fontId="22" fillId="5" borderId="6" xfId="0" applyNumberFormat="1" applyFont="1" applyFill="1" applyBorder="1" applyProtection="1">
      <protection locked="0"/>
    </xf>
    <xf numFmtId="3" fontId="26" fillId="5" borderId="1" xfId="0" applyNumberFormat="1" applyFont="1" applyFill="1" applyBorder="1" applyProtection="1">
      <protection locked="0"/>
    </xf>
    <xf numFmtId="3" fontId="26" fillId="5" borderId="0" xfId="0" applyNumberFormat="1" applyFont="1" applyFill="1" applyProtection="1">
      <protection locked="0"/>
    </xf>
    <xf numFmtId="165" fontId="22" fillId="5" borderId="2" xfId="0" applyNumberFormat="1" applyFont="1" applyFill="1" applyBorder="1" applyProtection="1">
      <protection locked="0"/>
    </xf>
    <xf numFmtId="165" fontId="26" fillId="5" borderId="7" xfId="0" applyNumberFormat="1" applyFont="1" applyFill="1" applyBorder="1" applyProtection="1">
      <protection locked="0"/>
    </xf>
    <xf numFmtId="165" fontId="5" fillId="2" borderId="1" xfId="0" applyNumberFormat="1" applyFont="1" applyFill="1" applyBorder="1"/>
    <xf numFmtId="165" fontId="4" fillId="2" borderId="1" xfId="0" applyNumberFormat="1" applyFont="1" applyFill="1" applyBorder="1"/>
    <xf numFmtId="1" fontId="3" fillId="2" borderId="1" xfId="0" applyNumberFormat="1" applyFont="1" applyFill="1" applyBorder="1"/>
    <xf numFmtId="10" fontId="3" fillId="2" borderId="1" xfId="0" applyNumberFormat="1" applyFont="1" applyFill="1" applyBorder="1" applyAlignment="1">
      <alignment horizontal="right"/>
    </xf>
    <xf numFmtId="165" fontId="3" fillId="2" borderId="1" xfId="0" applyNumberFormat="1" applyFont="1" applyFill="1" applyBorder="1"/>
    <xf numFmtId="169" fontId="0" fillId="0" borderId="0" xfId="0" applyNumberFormat="1"/>
    <xf numFmtId="0" fontId="38" fillId="0" borderId="0" xfId="0" applyFont="1"/>
    <xf numFmtId="0" fontId="0" fillId="0" borderId="19" xfId="0" applyBorder="1" applyAlignment="1">
      <alignment horizontal="left"/>
    </xf>
    <xf numFmtId="0" fontId="0" fillId="0" borderId="20" xfId="0" applyBorder="1" applyAlignment="1">
      <alignment horizontal="right"/>
    </xf>
    <xf numFmtId="49" fontId="0" fillId="0" borderId="20" xfId="0" applyNumberFormat="1" applyBorder="1" applyAlignment="1">
      <alignment horizontal="right"/>
    </xf>
    <xf numFmtId="0" fontId="2" fillId="0" borderId="0" xfId="0" applyFont="1" applyAlignment="1">
      <alignment vertical="center" wrapText="1"/>
    </xf>
    <xf numFmtId="0" fontId="46" fillId="0" borderId="0" xfId="0" applyFont="1" applyAlignment="1">
      <alignment horizontal="center"/>
    </xf>
    <xf numFmtId="0" fontId="46" fillId="0" borderId="19" xfId="0" applyFont="1" applyBorder="1" applyAlignment="1">
      <alignment horizontal="center"/>
    </xf>
    <xf numFmtId="0" fontId="46" fillId="0" borderId="20" xfId="0" applyFont="1" applyBorder="1" applyAlignment="1">
      <alignment horizontal="left"/>
    </xf>
    <xf numFmtId="0" fontId="46" fillId="0" borderId="19" xfId="0" applyFont="1" applyBorder="1" applyAlignment="1">
      <alignment horizontal="center" vertical="center"/>
    </xf>
    <xf numFmtId="0" fontId="46" fillId="0" borderId="0" xfId="0" applyFont="1" applyAlignment="1">
      <alignment horizontal="center" vertical="center"/>
    </xf>
    <xf numFmtId="0" fontId="46" fillId="0" borderId="21" xfId="0" applyFont="1" applyBorder="1" applyAlignment="1">
      <alignment horizontal="center" vertical="center"/>
    </xf>
    <xf numFmtId="0" fontId="46" fillId="0" borderId="22" xfId="0" applyFont="1" applyBorder="1" applyAlignment="1">
      <alignment horizontal="center" vertical="center"/>
    </xf>
    <xf numFmtId="0" fontId="46" fillId="0" borderId="20" xfId="0" applyFont="1" applyBorder="1" applyAlignment="1">
      <alignment horizontal="left" vertical="center" wrapText="1"/>
    </xf>
    <xf numFmtId="0" fontId="46" fillId="0" borderId="23" xfId="0" applyFont="1" applyBorder="1" applyAlignment="1">
      <alignment horizontal="left" vertical="center" wrapText="1"/>
    </xf>
    <xf numFmtId="0" fontId="47" fillId="0" borderId="28" xfId="0" applyFont="1" applyBorder="1" applyAlignment="1">
      <alignment horizontal="center" vertical="center"/>
    </xf>
    <xf numFmtId="0" fontId="47" fillId="0" borderId="27" xfId="0" applyFont="1" applyBorder="1" applyAlignment="1">
      <alignment horizontal="center" vertical="center"/>
    </xf>
    <xf numFmtId="0" fontId="47" fillId="0" borderId="29" xfId="0" applyFont="1" applyBorder="1" applyAlignment="1">
      <alignment horizontal="left" vertical="center"/>
    </xf>
    <xf numFmtId="0" fontId="45" fillId="0" borderId="0" xfId="0" applyFont="1" applyAlignment="1">
      <alignment vertical="top" wrapText="1"/>
    </xf>
    <xf numFmtId="0" fontId="25" fillId="0" borderId="0" xfId="0" applyFont="1" applyAlignment="1">
      <alignment horizontal="center"/>
    </xf>
    <xf numFmtId="168" fontId="25" fillId="0" borderId="0" xfId="0" applyNumberFormat="1" applyFont="1"/>
    <xf numFmtId="3" fontId="25" fillId="0" borderId="0" xfId="0" applyNumberFormat="1" applyFont="1" applyAlignment="1">
      <alignment horizontal="center"/>
    </xf>
    <xf numFmtId="14" fontId="0" fillId="0" borderId="20" xfId="0" applyNumberFormat="1" applyBorder="1" applyAlignment="1">
      <alignment horizontal="right"/>
    </xf>
    <xf numFmtId="10" fontId="0" fillId="0" borderId="20" xfId="0" applyNumberFormat="1" applyBorder="1" applyAlignment="1">
      <alignment horizontal="right"/>
    </xf>
    <xf numFmtId="0" fontId="0" fillId="0" borderId="23" xfId="0" applyBorder="1" applyAlignment="1">
      <alignment horizontal="right"/>
    </xf>
    <xf numFmtId="176" fontId="0" fillId="0" borderId="0" xfId="0" applyNumberFormat="1"/>
    <xf numFmtId="176" fontId="25" fillId="3" borderId="0" xfId="0" applyNumberFormat="1" applyFont="1" applyFill="1"/>
    <xf numFmtId="176" fontId="25" fillId="0" borderId="0" xfId="0" applyNumberFormat="1" applyFont="1"/>
    <xf numFmtId="4" fontId="0" fillId="0" borderId="0" xfId="0" applyNumberFormat="1"/>
    <xf numFmtId="4" fontId="25" fillId="3" borderId="0" xfId="0" applyNumberFormat="1" applyFont="1" applyFill="1" applyAlignment="1">
      <alignment horizontal="fill" vertical="center"/>
    </xf>
    <xf numFmtId="4" fontId="25" fillId="3" borderId="0" xfId="0" applyNumberFormat="1" applyFont="1" applyFill="1"/>
    <xf numFmtId="4" fontId="25" fillId="0" borderId="0" xfId="0" applyNumberFormat="1" applyFont="1"/>
    <xf numFmtId="9" fontId="0" fillId="0" borderId="0" xfId="0" applyNumberFormat="1"/>
    <xf numFmtId="9" fontId="25" fillId="3" borderId="0" xfId="0" applyNumberFormat="1" applyFont="1" applyFill="1"/>
    <xf numFmtId="9" fontId="25" fillId="0" borderId="0" xfId="0" applyNumberFormat="1" applyFont="1" applyAlignment="1">
      <alignment horizontal="center"/>
    </xf>
    <xf numFmtId="3" fontId="0" fillId="0" borderId="0" xfId="0" applyNumberFormat="1"/>
    <xf numFmtId="3" fontId="25" fillId="3" borderId="0" xfId="0" applyNumberFormat="1" applyFont="1" applyFill="1"/>
    <xf numFmtId="3" fontId="25" fillId="0" borderId="0" xfId="0" applyNumberFormat="1" applyFont="1"/>
    <xf numFmtId="0" fontId="0" fillId="0" borderId="17" xfId="0" applyBorder="1"/>
    <xf numFmtId="0" fontId="0" fillId="0" borderId="21" xfId="0" applyBorder="1" applyAlignment="1">
      <alignment horizontal="left"/>
    </xf>
    <xf numFmtId="9" fontId="25" fillId="2" borderId="0" xfId="0" applyNumberFormat="1" applyFont="1" applyFill="1" applyAlignment="1">
      <alignment horizontal="center"/>
    </xf>
    <xf numFmtId="173" fontId="4" fillId="6" borderId="0" xfId="0" applyNumberFormat="1" applyFont="1" applyFill="1" applyAlignment="1">
      <alignment horizontal="center"/>
    </xf>
    <xf numFmtId="174" fontId="4" fillId="6" borderId="0" xfId="0" applyNumberFormat="1" applyFont="1" applyFill="1" applyAlignment="1">
      <alignment horizontal="center"/>
    </xf>
    <xf numFmtId="0" fontId="4" fillId="6" borderId="0" xfId="0" applyFont="1" applyFill="1" applyAlignment="1">
      <alignment horizontal="center"/>
    </xf>
    <xf numFmtId="0" fontId="4" fillId="6" borderId="0" xfId="0" applyFont="1" applyFill="1" applyAlignment="1">
      <alignment horizontal="center" vertical="center"/>
    </xf>
    <xf numFmtId="173" fontId="4" fillId="6" borderId="34" xfId="0" applyNumberFormat="1" applyFont="1" applyFill="1" applyBorder="1" applyAlignment="1">
      <alignment horizontal="center"/>
    </xf>
    <xf numFmtId="0" fontId="4" fillId="6" borderId="34" xfId="0" applyFont="1" applyFill="1" applyBorder="1" applyAlignment="1">
      <alignment horizontal="center"/>
    </xf>
    <xf numFmtId="0" fontId="40" fillId="0" borderId="36" xfId="0" applyFont="1" applyBorder="1" applyAlignment="1">
      <alignment vertical="top" wrapText="1"/>
    </xf>
    <xf numFmtId="0" fontId="4" fillId="6" borderId="36" xfId="0" applyFont="1" applyFill="1" applyBorder="1" applyAlignment="1">
      <alignment horizontal="center"/>
    </xf>
    <xf numFmtId="9" fontId="5" fillId="2" borderId="0" xfId="0" applyNumberFormat="1" applyFont="1" applyFill="1" applyAlignment="1">
      <alignment horizontal="center"/>
    </xf>
    <xf numFmtId="0" fontId="5" fillId="2" borderId="0" xfId="0" applyFont="1" applyFill="1" applyAlignment="1">
      <alignment horizontal="center"/>
    </xf>
    <xf numFmtId="9" fontId="5" fillId="2" borderId="0" xfId="0" applyNumberFormat="1" applyFont="1" applyFill="1" applyAlignment="1">
      <alignment horizontal="center" shrinkToFit="1"/>
    </xf>
    <xf numFmtId="3" fontId="5" fillId="2" borderId="0" xfId="0" applyNumberFormat="1" applyFont="1" applyFill="1" applyAlignment="1">
      <alignment horizontal="center" shrinkToFit="1"/>
    </xf>
    <xf numFmtId="0" fontId="5" fillId="2" borderId="0" xfId="0" applyFont="1" applyFill="1" applyAlignment="1">
      <alignment horizontal="center" shrinkToFit="1"/>
    </xf>
    <xf numFmtId="0" fontId="5" fillId="2" borderId="0" xfId="0" applyFont="1" applyFill="1" applyAlignment="1">
      <alignment horizontal="center" vertical="center" shrinkToFit="1"/>
    </xf>
    <xf numFmtId="165" fontId="5" fillId="2" borderId="0" xfId="0" applyNumberFormat="1" applyFont="1" applyFill="1" applyAlignment="1">
      <alignment horizontal="center" vertical="center" shrinkToFit="1"/>
    </xf>
    <xf numFmtId="0" fontId="3" fillId="2" borderId="0" xfId="0" applyFont="1" applyFill="1" applyAlignment="1">
      <alignment horizontal="fill" vertical="center"/>
    </xf>
    <xf numFmtId="37" fontId="0" fillId="0" borderId="0" xfId="0" applyNumberFormat="1"/>
    <xf numFmtId="165" fontId="0" fillId="0" borderId="0" xfId="0" applyNumberFormat="1"/>
    <xf numFmtId="0" fontId="0" fillId="8" borderId="0" xfId="0" applyFill="1"/>
    <xf numFmtId="9" fontId="0" fillId="8" borderId="0" xfId="0" applyNumberFormat="1" applyFill="1"/>
    <xf numFmtId="9" fontId="3" fillId="8" borderId="0" xfId="0" applyNumberFormat="1" applyFont="1" applyFill="1"/>
    <xf numFmtId="0" fontId="3" fillId="8" borderId="0" xfId="0" applyFont="1" applyFill="1"/>
    <xf numFmtId="176" fontId="0" fillId="8" borderId="0" xfId="0" applyNumberFormat="1" applyFill="1"/>
    <xf numFmtId="3" fontId="0" fillId="8" borderId="0" xfId="0" applyNumberFormat="1" applyFill="1"/>
    <xf numFmtId="0" fontId="29" fillId="8" borderId="0" xfId="0" applyFont="1" applyFill="1" applyAlignment="1">
      <alignment horizontal="center"/>
    </xf>
    <xf numFmtId="4" fontId="0" fillId="8" borderId="0" xfId="0" applyNumberFormat="1" applyFill="1"/>
    <xf numFmtId="0" fontId="16" fillId="8" borderId="0" xfId="0" applyFont="1" applyFill="1"/>
    <xf numFmtId="0" fontId="18" fillId="8" borderId="0" xfId="0" applyFont="1" applyFill="1"/>
    <xf numFmtId="0" fontId="13" fillId="8" borderId="0" xfId="0" applyFont="1" applyFill="1" applyAlignment="1">
      <alignment horizontal="centerContinuous"/>
    </xf>
    <xf numFmtId="176" fontId="4" fillId="8" borderId="0" xfId="0" applyNumberFormat="1" applyFont="1" applyFill="1"/>
    <xf numFmtId="3" fontId="4" fillId="8" borderId="0" xfId="0" applyNumberFormat="1" applyFont="1" applyFill="1"/>
    <xf numFmtId="0" fontId="4" fillId="8" borderId="0" xfId="0" applyFont="1" applyFill="1"/>
    <xf numFmtId="0" fontId="7" fillId="8" borderId="0" xfId="0" applyFont="1" applyFill="1" applyAlignment="1">
      <alignment horizontal="center"/>
    </xf>
    <xf numFmtId="0" fontId="10" fillId="8" borderId="0" xfId="0" applyFont="1" applyFill="1" applyAlignment="1">
      <alignment horizontal="left"/>
    </xf>
    <xf numFmtId="0" fontId="12" fillId="8" borderId="0" xfId="0" applyFont="1" applyFill="1" applyAlignment="1">
      <alignment horizontal="center"/>
    </xf>
    <xf numFmtId="4" fontId="13" fillId="8" borderId="0" xfId="0" applyNumberFormat="1" applyFont="1" applyFill="1" applyAlignment="1">
      <alignment horizontal="centerContinuous"/>
    </xf>
    <xf numFmtId="9" fontId="13" fillId="8" borderId="0" xfId="0" applyNumberFormat="1" applyFont="1" applyFill="1" applyAlignment="1">
      <alignment horizontal="centerContinuous"/>
    </xf>
    <xf numFmtId="3" fontId="13" fillId="8" borderId="0" xfId="0" applyNumberFormat="1" applyFont="1" applyFill="1" applyAlignment="1">
      <alignment horizontal="centerContinuous"/>
    </xf>
    <xf numFmtId="0" fontId="17" fillId="8" borderId="0" xfId="0" applyFont="1" applyFill="1" applyAlignment="1">
      <alignment horizontal="right"/>
    </xf>
    <xf numFmtId="168" fontId="19" fillId="8" borderId="0" xfId="0" applyNumberFormat="1" applyFont="1" applyFill="1" applyAlignment="1">
      <alignment horizontal="right"/>
    </xf>
    <xf numFmtId="0" fontId="24" fillId="8" borderId="0" xfId="0" applyFont="1" applyFill="1"/>
    <xf numFmtId="176" fontId="3" fillId="8" borderId="0" xfId="0" applyNumberFormat="1" applyFont="1" applyFill="1" applyAlignment="1">
      <alignment horizontal="centerContinuous" vertical="center"/>
    </xf>
    <xf numFmtId="3" fontId="6" fillId="8" borderId="0" xfId="0" applyNumberFormat="1" applyFont="1" applyFill="1" applyAlignment="1">
      <alignment horizontal="centerContinuous" vertical="center"/>
    </xf>
    <xf numFmtId="3" fontId="3" fillId="8" borderId="0" xfId="0" applyNumberFormat="1" applyFont="1" applyFill="1" applyAlignment="1">
      <alignment horizontal="centerContinuous" vertical="center"/>
    </xf>
    <xf numFmtId="0" fontId="3" fillId="8" borderId="0" xfId="0" applyFont="1" applyFill="1" applyAlignment="1" applyProtection="1">
      <alignment horizontal="centerContinuous" vertical="center"/>
      <protection hidden="1"/>
    </xf>
    <xf numFmtId="0" fontId="8" fillId="8" borderId="0" xfId="0" applyFont="1" applyFill="1" applyAlignment="1">
      <alignment horizontal="center" vertical="center"/>
    </xf>
    <xf numFmtId="0" fontId="11" fillId="8" borderId="0" xfId="0" applyFont="1" applyFill="1" applyAlignment="1" applyProtection="1">
      <alignment horizontal="center"/>
      <protection locked="0"/>
    </xf>
    <xf numFmtId="0" fontId="11" fillId="8" borderId="0" xfId="0" applyFont="1" applyFill="1" applyAlignment="1">
      <alignment horizontal="center"/>
    </xf>
    <xf numFmtId="0" fontId="14" fillId="8" borderId="0" xfId="0" applyFont="1" applyFill="1" applyAlignment="1">
      <alignment horizontal="center" vertical="center"/>
    </xf>
    <xf numFmtId="4" fontId="14" fillId="8" borderId="0" xfId="0" applyNumberFormat="1" applyFont="1" applyFill="1" applyAlignment="1">
      <alignment horizontal="center"/>
    </xf>
    <xf numFmtId="9" fontId="14" fillId="8" borderId="0" xfId="0" applyNumberFormat="1" applyFont="1" applyFill="1" applyAlignment="1">
      <alignment horizontal="center"/>
    </xf>
    <xf numFmtId="3" fontId="14" fillId="8" borderId="0" xfId="0" applyNumberFormat="1" applyFont="1" applyFill="1" applyAlignment="1">
      <alignment horizontal="center"/>
    </xf>
    <xf numFmtId="0" fontId="17" fillId="8" borderId="0" xfId="0" applyFont="1" applyFill="1" applyAlignment="1">
      <alignment horizontal="left"/>
    </xf>
    <xf numFmtId="0" fontId="3" fillId="8" borderId="0" xfId="0" applyFont="1" applyFill="1" applyProtection="1">
      <protection hidden="1"/>
    </xf>
    <xf numFmtId="0" fontId="21" fillId="8" borderId="0" xfId="0" applyFont="1" applyFill="1" applyAlignment="1">
      <alignment horizontal="centerContinuous"/>
    </xf>
    <xf numFmtId="0" fontId="22" fillId="8" borderId="0" xfId="0" applyFont="1" applyFill="1" applyAlignment="1">
      <alignment horizontal="centerContinuous"/>
    </xf>
    <xf numFmtId="176" fontId="3" fillId="8" borderId="0" xfId="0" applyNumberFormat="1" applyFont="1" applyFill="1" applyAlignment="1">
      <alignment horizontal="left" vertical="top"/>
    </xf>
    <xf numFmtId="0" fontId="3" fillId="8" borderId="0" xfId="0" applyFont="1" applyFill="1" applyAlignment="1">
      <alignment horizontal="centerContinuous" vertical="center"/>
    </xf>
    <xf numFmtId="0" fontId="9" fillId="8" borderId="0" xfId="0" applyFont="1" applyFill="1" applyAlignment="1">
      <alignment horizontal="center" vertical="center"/>
    </xf>
    <xf numFmtId="0" fontId="10" fillId="8" borderId="0" xfId="0" applyFont="1" applyFill="1" applyAlignment="1">
      <alignment horizontal="center"/>
    </xf>
    <xf numFmtId="0" fontId="15" fillId="8" borderId="0" xfId="0" applyFont="1" applyFill="1" applyAlignment="1">
      <alignment horizontal="center" vertical="center"/>
    </xf>
    <xf numFmtId="4" fontId="15" fillId="8" borderId="0" xfId="0" applyNumberFormat="1" applyFont="1" applyFill="1" applyAlignment="1">
      <alignment horizontal="center"/>
    </xf>
    <xf numFmtId="9" fontId="15" fillId="8" borderId="0" xfId="0" applyNumberFormat="1" applyFont="1" applyFill="1" applyAlignment="1">
      <alignment horizontal="center"/>
    </xf>
    <xf numFmtId="3" fontId="15" fillId="8" borderId="0" xfId="0" applyNumberFormat="1" applyFont="1" applyFill="1" applyAlignment="1">
      <alignment horizontal="center"/>
    </xf>
    <xf numFmtId="0" fontId="48" fillId="8" borderId="0" xfId="0" applyFont="1" applyFill="1" applyAlignment="1">
      <alignment horizontal="right"/>
    </xf>
    <xf numFmtId="0" fontId="22" fillId="8" borderId="0" xfId="0" applyFont="1" applyFill="1"/>
    <xf numFmtId="0" fontId="4" fillId="8" borderId="0" xfId="0" applyFont="1" applyFill="1" applyProtection="1">
      <protection locked="0"/>
    </xf>
    <xf numFmtId="0" fontId="6" fillId="8" borderId="0" xfId="0" applyFont="1" applyFill="1" applyAlignment="1">
      <alignment horizontal="centerContinuous" vertical="center"/>
    </xf>
    <xf numFmtId="4" fontId="3" fillId="8" borderId="0" xfId="0" applyNumberFormat="1" applyFont="1" applyFill="1"/>
    <xf numFmtId="3" fontId="3" fillId="8" borderId="0" xfId="0" applyNumberFormat="1" applyFont="1" applyFill="1"/>
    <xf numFmtId="0" fontId="19" fillId="8" borderId="0" xfId="0" applyFont="1" applyFill="1" applyAlignment="1">
      <alignment horizontal="center"/>
    </xf>
    <xf numFmtId="0" fontId="17" fillId="8" borderId="0" xfId="0" applyFont="1" applyFill="1"/>
    <xf numFmtId="0" fontId="23" fillId="8" borderId="0" xfId="0" applyFont="1" applyFill="1"/>
    <xf numFmtId="0" fontId="3" fillId="8" borderId="0" xfId="0" applyFont="1" applyFill="1" applyAlignment="1">
      <alignment horizontal="center" vertical="center"/>
    </xf>
    <xf numFmtId="0" fontId="3" fillId="8" borderId="0" xfId="0" applyFont="1" applyFill="1" applyAlignment="1">
      <alignment horizontal="left" vertical="top"/>
    </xf>
    <xf numFmtId="0" fontId="6" fillId="8" borderId="0" xfId="0" applyFont="1" applyFill="1" applyAlignment="1">
      <alignment horizontal="left" vertical="top"/>
    </xf>
    <xf numFmtId="4" fontId="3" fillId="8" borderId="0" xfId="0" applyNumberFormat="1" applyFont="1" applyFill="1" applyAlignment="1">
      <alignment horizontal="centerContinuous" vertical="center"/>
    </xf>
    <xf numFmtId="9" fontId="3" fillId="8" borderId="0" xfId="0" applyNumberFormat="1" applyFont="1" applyFill="1" applyAlignment="1">
      <alignment horizontal="centerContinuous" vertical="center"/>
    </xf>
    <xf numFmtId="0" fontId="5" fillId="8" borderId="0" xfId="0" applyFont="1" applyFill="1"/>
    <xf numFmtId="0" fontId="5" fillId="8" borderId="0" xfId="0" applyFont="1" applyFill="1" applyAlignment="1">
      <alignment horizontal="center"/>
    </xf>
    <xf numFmtId="176" fontId="5" fillId="8" borderId="0" xfId="0" applyNumberFormat="1" applyFont="1" applyFill="1" applyAlignment="1">
      <alignment horizontal="center" vertical="center"/>
    </xf>
    <xf numFmtId="3" fontId="5" fillId="8" borderId="0" xfId="0" applyNumberFormat="1" applyFont="1" applyFill="1" applyAlignment="1">
      <alignment horizontal="center" vertical="center"/>
    </xf>
    <xf numFmtId="0" fontId="5" fillId="8" borderId="0" xfId="0" applyFont="1" applyFill="1" applyAlignment="1" applyProtection="1">
      <alignment horizontal="center" vertical="center"/>
      <protection hidden="1"/>
    </xf>
    <xf numFmtId="0" fontId="5" fillId="8" borderId="1" xfId="0" applyFont="1" applyFill="1" applyBorder="1" applyAlignment="1">
      <alignment horizontal="center" vertical="center"/>
    </xf>
    <xf numFmtId="0" fontId="5" fillId="8" borderId="0" xfId="0" applyFont="1" applyFill="1" applyAlignment="1">
      <alignment horizontal="center" vertical="center"/>
    </xf>
    <xf numFmtId="3" fontId="5" fillId="8" borderId="2"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164" fontId="5" fillId="8" borderId="0" xfId="0" applyNumberFormat="1" applyFont="1" applyFill="1" applyAlignment="1">
      <alignment horizontal="center"/>
    </xf>
    <xf numFmtId="10" fontId="20" fillId="8" borderId="0" xfId="1" applyNumberFormat="1" applyFont="1" applyFill="1" applyBorder="1" applyAlignment="1">
      <alignment horizontal="center"/>
    </xf>
    <xf numFmtId="165" fontId="5" fillId="8" borderId="0" xfId="0" applyNumberFormat="1" applyFont="1" applyFill="1" applyAlignment="1">
      <alignment horizontal="left" vertical="center"/>
    </xf>
    <xf numFmtId="165" fontId="5" fillId="8" borderId="0" xfId="0" applyNumberFormat="1" applyFont="1" applyFill="1" applyAlignment="1">
      <alignment horizontal="center" vertical="center"/>
    </xf>
    <xf numFmtId="3" fontId="5" fillId="8" borderId="0" xfId="0" applyNumberFormat="1" applyFont="1" applyFill="1" applyAlignment="1">
      <alignment horizontal="center"/>
    </xf>
    <xf numFmtId="4" fontId="5" fillId="8" borderId="0" xfId="0" applyNumberFormat="1" applyFont="1" applyFill="1" applyAlignment="1">
      <alignment horizontal="center" vertical="center"/>
    </xf>
    <xf numFmtId="9" fontId="5" fillId="8" borderId="0" xfId="0" applyNumberFormat="1" applyFont="1" applyFill="1" applyAlignment="1">
      <alignment horizontal="center" vertical="center"/>
    </xf>
    <xf numFmtId="166" fontId="5" fillId="8" borderId="0" xfId="0" applyNumberFormat="1" applyFont="1" applyFill="1" applyAlignment="1">
      <alignment horizontal="center"/>
    </xf>
    <xf numFmtId="1" fontId="5" fillId="8" borderId="0" xfId="0" applyNumberFormat="1" applyFont="1" applyFill="1" applyAlignment="1">
      <alignment horizontal="center"/>
    </xf>
    <xf numFmtId="1" fontId="26" fillId="8" borderId="0" xfId="0" applyNumberFormat="1" applyFont="1" applyFill="1" applyAlignment="1">
      <alignment horizontal="center"/>
    </xf>
    <xf numFmtId="165" fontId="5" fillId="8" borderId="0" xfId="0" applyNumberFormat="1" applyFont="1" applyFill="1" applyAlignment="1">
      <alignment horizontal="left" vertical="top"/>
    </xf>
    <xf numFmtId="167" fontId="5" fillId="8" borderId="0" xfId="0" applyNumberFormat="1" applyFont="1" applyFill="1" applyAlignment="1">
      <alignment horizontal="center"/>
    </xf>
    <xf numFmtId="0" fontId="3" fillId="8" borderId="0" xfId="0" applyFont="1" applyFill="1" applyAlignment="1">
      <alignment horizontal="fill" vertical="center"/>
    </xf>
    <xf numFmtId="176" fontId="3" fillId="8" borderId="0" xfId="0" applyNumberFormat="1" applyFont="1" applyFill="1" applyAlignment="1">
      <alignment horizontal="fill" vertical="center"/>
    </xf>
    <xf numFmtId="3" fontId="3" fillId="8" borderId="0" xfId="0" applyNumberFormat="1" applyFont="1" applyFill="1" applyAlignment="1">
      <alignment horizontal="fill" vertical="center"/>
    </xf>
    <xf numFmtId="4" fontId="3" fillId="8" borderId="0" xfId="0" applyNumberFormat="1" applyFont="1" applyFill="1" applyAlignment="1">
      <alignment horizontal="fill" vertical="center"/>
    </xf>
    <xf numFmtId="9" fontId="3" fillId="8" borderId="0" xfId="0" applyNumberFormat="1" applyFont="1" applyFill="1" applyAlignment="1">
      <alignment horizontal="fill" vertical="center"/>
    </xf>
    <xf numFmtId="0" fontId="27" fillId="8" borderId="0" xfId="0" applyFont="1" applyFill="1" applyAlignment="1">
      <alignment horizontal="center"/>
    </xf>
    <xf numFmtId="0" fontId="25" fillId="8" borderId="0" xfId="0" applyFont="1" applyFill="1" applyAlignment="1">
      <alignment horizontal="fill"/>
    </xf>
    <xf numFmtId="165" fontId="7" fillId="8" borderId="0" xfId="0" applyNumberFormat="1" applyFont="1" applyFill="1" applyAlignment="1">
      <alignment horizontal="centerContinuous"/>
    </xf>
    <xf numFmtId="165" fontId="7" fillId="8" borderId="0" xfId="0" applyNumberFormat="1" applyFont="1" applyFill="1" applyAlignment="1">
      <alignment horizontal="center"/>
    </xf>
    <xf numFmtId="165" fontId="28" fillId="8" borderId="0" xfId="0" applyNumberFormat="1" applyFont="1" applyFill="1" applyAlignment="1">
      <alignment horizontal="centerContinuous"/>
    </xf>
    <xf numFmtId="0" fontId="28" fillId="8" borderId="0" xfId="0" applyFont="1" applyFill="1" applyAlignment="1">
      <alignment horizontal="centerContinuous"/>
    </xf>
    <xf numFmtId="0" fontId="28" fillId="8" borderId="0" xfId="0" applyFont="1" applyFill="1"/>
    <xf numFmtId="165" fontId="30" fillId="8" borderId="0" xfId="0" applyNumberFormat="1" applyFont="1" applyFill="1" applyAlignment="1">
      <alignment horizontal="left"/>
    </xf>
    <xf numFmtId="0" fontId="28" fillId="8" borderId="0" xfId="0" applyFont="1" applyFill="1" applyAlignment="1">
      <alignment horizontal="center"/>
    </xf>
    <xf numFmtId="165" fontId="3" fillId="8" borderId="0" xfId="0" applyNumberFormat="1" applyFont="1" applyFill="1"/>
    <xf numFmtId="165" fontId="8" fillId="8" borderId="0" xfId="0" applyNumberFormat="1" applyFont="1" applyFill="1" applyAlignment="1">
      <alignment horizontal="center"/>
    </xf>
    <xf numFmtId="1" fontId="5" fillId="8" borderId="0" xfId="0" applyNumberFormat="1" applyFont="1" applyFill="1" applyAlignment="1">
      <alignment horizontal="right"/>
    </xf>
    <xf numFmtId="168" fontId="30" fillId="8" borderId="0" xfId="0" applyNumberFormat="1" applyFont="1" applyFill="1" applyAlignment="1">
      <alignment horizontal="left" vertical="center"/>
    </xf>
    <xf numFmtId="164" fontId="3" fillId="8" borderId="0" xfId="0" applyNumberFormat="1" applyFont="1" applyFill="1" applyProtection="1">
      <protection hidden="1"/>
    </xf>
    <xf numFmtId="3" fontId="8" fillId="8" borderId="0" xfId="0" applyNumberFormat="1" applyFont="1" applyFill="1" applyAlignment="1">
      <alignment horizontal="center" vertical="center"/>
    </xf>
    <xf numFmtId="165" fontId="5" fillId="8" borderId="0" xfId="0" applyNumberFormat="1" applyFont="1" applyFill="1"/>
    <xf numFmtId="0" fontId="20" fillId="8" borderId="0" xfId="0" applyFont="1" applyFill="1"/>
    <xf numFmtId="165" fontId="31" fillId="8" borderId="0" xfId="0" applyNumberFormat="1" applyFont="1" applyFill="1"/>
    <xf numFmtId="169" fontId="8" fillId="8" borderId="0" xfId="0" applyNumberFormat="1" applyFont="1" applyFill="1" applyAlignment="1">
      <alignment horizontal="right"/>
    </xf>
    <xf numFmtId="1" fontId="8" fillId="9" borderId="0" xfId="0" applyNumberFormat="1" applyFont="1" applyFill="1" applyAlignment="1">
      <alignment horizontal="right"/>
    </xf>
    <xf numFmtId="165" fontId="5" fillId="8" borderId="4" xfId="0" applyNumberFormat="1" applyFont="1" applyFill="1" applyBorder="1"/>
    <xf numFmtId="165" fontId="4" fillId="8" borderId="5" xfId="0" applyNumberFormat="1" applyFont="1" applyFill="1" applyBorder="1"/>
    <xf numFmtId="1" fontId="32" fillId="8" borderId="4" xfId="0" applyNumberFormat="1" applyFont="1" applyFill="1" applyBorder="1" applyAlignment="1">
      <alignment horizontal="right"/>
    </xf>
    <xf numFmtId="37" fontId="3" fillId="8" borderId="4" xfId="0" applyNumberFormat="1" applyFont="1" applyFill="1" applyBorder="1" applyAlignment="1">
      <alignment horizontal="right"/>
    </xf>
    <xf numFmtId="37" fontId="3" fillId="8" borderId="4" xfId="0" applyNumberFormat="1" applyFont="1" applyFill="1" applyBorder="1"/>
    <xf numFmtId="165" fontId="3" fillId="8" borderId="0" xfId="0" applyNumberFormat="1" applyFont="1" applyFill="1" applyAlignment="1">
      <alignment horizontal="center"/>
    </xf>
    <xf numFmtId="0" fontId="3" fillId="8" borderId="0" xfId="0" applyFont="1" applyFill="1" applyAlignment="1">
      <alignment horizontal="center"/>
    </xf>
    <xf numFmtId="1" fontId="32" fillId="8" borderId="0" xfId="0" applyNumberFormat="1" applyFont="1" applyFill="1" applyAlignment="1">
      <alignment horizontal="right"/>
    </xf>
    <xf numFmtId="165" fontId="5" fillId="8" borderId="1" xfId="0" applyNumberFormat="1" applyFont="1" applyFill="1" applyBorder="1"/>
    <xf numFmtId="165" fontId="4" fillId="8" borderId="1" xfId="0" applyNumberFormat="1" applyFont="1" applyFill="1" applyBorder="1"/>
    <xf numFmtId="1" fontId="32" fillId="8" borderId="1" xfId="0" applyNumberFormat="1" applyFont="1" applyFill="1" applyBorder="1" applyAlignment="1">
      <alignment horizontal="right"/>
    </xf>
    <xf numFmtId="37" fontId="3" fillId="8" borderId="6" xfId="0" applyNumberFormat="1" applyFont="1" applyFill="1" applyBorder="1" applyAlignment="1">
      <alignment horizontal="right"/>
    </xf>
    <xf numFmtId="37" fontId="3" fillId="8" borderId="1" xfId="0" applyNumberFormat="1" applyFont="1" applyFill="1" applyBorder="1"/>
    <xf numFmtId="165" fontId="4" fillId="8" borderId="0" xfId="0" applyNumberFormat="1" applyFont="1" applyFill="1"/>
    <xf numFmtId="1" fontId="5" fillId="8" borderId="0" xfId="0" applyNumberFormat="1" applyFont="1" applyFill="1"/>
    <xf numFmtId="37" fontId="3" fillId="8" borderId="0" xfId="0" applyNumberFormat="1" applyFont="1" applyFill="1" applyAlignment="1">
      <alignment horizontal="right"/>
    </xf>
    <xf numFmtId="165" fontId="3" fillId="8" borderId="0" xfId="0" applyNumberFormat="1" applyFont="1" applyFill="1" applyAlignment="1">
      <alignment vertical="center"/>
    </xf>
    <xf numFmtId="1" fontId="3" fillId="8" borderId="0" xfId="0" applyNumberFormat="1" applyFont="1" applyFill="1" applyAlignment="1">
      <alignment vertical="center"/>
    </xf>
    <xf numFmtId="1" fontId="3" fillId="8" borderId="0" xfId="0" applyNumberFormat="1" applyFont="1" applyFill="1"/>
    <xf numFmtId="165" fontId="33" fillId="8" borderId="0" xfId="0" applyNumberFormat="1" applyFont="1" applyFill="1" applyAlignment="1">
      <alignment horizontal="right"/>
    </xf>
    <xf numFmtId="1" fontId="34" fillId="8" borderId="0" xfId="0" applyNumberFormat="1" applyFont="1" applyFill="1" applyAlignment="1">
      <alignment horizontal="right"/>
    </xf>
    <xf numFmtId="3" fontId="3" fillId="8" borderId="0" xfId="0" applyNumberFormat="1" applyFont="1" applyFill="1" applyAlignment="1">
      <alignment horizontal="left"/>
    </xf>
    <xf numFmtId="3" fontId="3" fillId="8" borderId="0" xfId="0" applyNumberFormat="1" applyFont="1" applyFill="1" applyAlignment="1">
      <alignment horizontal="right"/>
    </xf>
    <xf numFmtId="6" fontId="3" fillId="8" borderId="0" xfId="0" applyNumberFormat="1" applyFont="1" applyFill="1"/>
    <xf numFmtId="38" fontId="22" fillId="8" borderId="0" xfId="0" applyNumberFormat="1" applyFont="1" applyFill="1" applyAlignment="1">
      <alignment horizontal="right"/>
    </xf>
    <xf numFmtId="0" fontId="40" fillId="8" borderId="0" xfId="0" applyFont="1" applyFill="1" applyAlignment="1">
      <alignment vertical="top" wrapText="1"/>
    </xf>
    <xf numFmtId="165" fontId="5" fillId="8" borderId="0" xfId="0" applyNumberFormat="1" applyFont="1" applyFill="1" applyAlignment="1">
      <alignment horizontal="center"/>
    </xf>
    <xf numFmtId="3" fontId="31" fillId="8" borderId="0" xfId="0" applyNumberFormat="1" applyFont="1" applyFill="1"/>
    <xf numFmtId="165" fontId="5" fillId="8" borderId="0" xfId="0" applyNumberFormat="1" applyFont="1" applyFill="1" applyAlignment="1" applyProtection="1">
      <alignment horizontal="center"/>
      <protection locked="0"/>
    </xf>
    <xf numFmtId="165" fontId="8" fillId="8" borderId="0" xfId="0" applyNumberFormat="1" applyFont="1" applyFill="1"/>
    <xf numFmtId="1" fontId="8" fillId="9" borderId="0" xfId="0" applyNumberFormat="1" applyFont="1" applyFill="1"/>
    <xf numFmtId="0" fontId="39" fillId="8" borderId="0" xfId="0" applyFont="1" applyFill="1" applyAlignment="1">
      <alignment horizontal="right"/>
    </xf>
    <xf numFmtId="0" fontId="4" fillId="8" borderId="0" xfId="0" applyFont="1" applyFill="1" applyAlignment="1">
      <alignment horizontal="center"/>
    </xf>
    <xf numFmtId="0" fontId="43" fillId="8" borderId="0" xfId="0" applyFont="1" applyFill="1"/>
    <xf numFmtId="0" fontId="6" fillId="8" borderId="0" xfId="0" applyFont="1" applyFill="1"/>
    <xf numFmtId="1" fontId="3" fillId="8" borderId="4" xfId="0" applyNumberFormat="1" applyFont="1" applyFill="1" applyBorder="1"/>
    <xf numFmtId="165" fontId="3" fillId="8" borderId="4" xfId="0" applyNumberFormat="1" applyFont="1" applyFill="1" applyBorder="1" applyProtection="1">
      <protection locked="0"/>
    </xf>
    <xf numFmtId="1" fontId="3" fillId="8" borderId="1" xfId="0" applyNumberFormat="1" applyFont="1" applyFill="1" applyBorder="1"/>
    <xf numFmtId="165" fontId="3" fillId="8" borderId="1" xfId="0" applyNumberFormat="1" applyFont="1" applyFill="1" applyBorder="1"/>
    <xf numFmtId="170" fontId="3" fillId="8" borderId="0" xfId="0" applyNumberFormat="1" applyFont="1" applyFill="1"/>
    <xf numFmtId="165" fontId="33" fillId="8" borderId="0" xfId="0" applyNumberFormat="1" applyFont="1" applyFill="1"/>
    <xf numFmtId="165" fontId="3" fillId="8" borderId="0" xfId="0" applyNumberFormat="1" applyFont="1" applyFill="1" applyAlignment="1">
      <alignment horizontal="centerContinuous"/>
    </xf>
    <xf numFmtId="165" fontId="3" fillId="8" borderId="0" xfId="0" applyNumberFormat="1" applyFont="1" applyFill="1" applyAlignment="1">
      <alignment horizontal="right"/>
    </xf>
    <xf numFmtId="171" fontId="22" fillId="8" borderId="0" xfId="0" applyNumberFormat="1" applyFont="1" applyFill="1"/>
    <xf numFmtId="3" fontId="5" fillId="8" borderId="0" xfId="0" applyNumberFormat="1" applyFont="1" applyFill="1" applyAlignment="1">
      <alignment horizontal="right"/>
    </xf>
    <xf numFmtId="172" fontId="22" fillId="8" borderId="0" xfId="0" applyNumberFormat="1" applyFont="1" applyFill="1"/>
    <xf numFmtId="165" fontId="35" fillId="8" borderId="0" xfId="0" applyNumberFormat="1" applyFont="1" applyFill="1"/>
    <xf numFmtId="1" fontId="3" fillId="8" borderId="0" xfId="0" applyNumberFormat="1" applyFont="1" applyFill="1" applyProtection="1">
      <protection locked="0"/>
    </xf>
    <xf numFmtId="168" fontId="36" fillId="8" borderId="0" xfId="0" applyNumberFormat="1" applyFont="1" applyFill="1" applyAlignment="1">
      <alignment horizontal="centerContinuous" vertical="center"/>
    </xf>
    <xf numFmtId="165" fontId="24" fillId="8" borderId="0" xfId="0" applyNumberFormat="1" applyFont="1" applyFill="1"/>
    <xf numFmtId="0" fontId="25" fillId="8" borderId="0" xfId="0" applyFont="1" applyFill="1"/>
    <xf numFmtId="0" fontId="40" fillId="8" borderId="33" xfId="0" applyFont="1" applyFill="1" applyBorder="1" applyAlignment="1">
      <alignment horizontal="right"/>
    </xf>
    <xf numFmtId="0" fontId="40" fillId="8" borderId="35" xfId="0" applyFont="1" applyFill="1" applyBorder="1" applyAlignment="1">
      <alignment vertical="top" wrapText="1"/>
    </xf>
    <xf numFmtId="0" fontId="41" fillId="8" borderId="0" xfId="0" applyFont="1" applyFill="1" applyAlignment="1">
      <alignment horizontal="center"/>
    </xf>
    <xf numFmtId="0" fontId="40" fillId="8" borderId="36" xfId="0" applyFont="1" applyFill="1" applyBorder="1" applyAlignment="1">
      <alignment vertical="top" wrapText="1"/>
    </xf>
    <xf numFmtId="0" fontId="39" fillId="8" borderId="36" xfId="0" applyFont="1" applyFill="1" applyBorder="1" applyAlignment="1">
      <alignment horizontal="right"/>
    </xf>
    <xf numFmtId="0" fontId="42" fillId="8" borderId="36" xfId="0" applyFont="1" applyFill="1" applyBorder="1"/>
    <xf numFmtId="0" fontId="42" fillId="8" borderId="37" xfId="0" applyFont="1" applyFill="1" applyBorder="1"/>
    <xf numFmtId="0" fontId="38" fillId="0" borderId="19" xfId="0" applyFont="1" applyBorder="1"/>
    <xf numFmtId="0" fontId="0" fillId="7" borderId="20" xfId="0" applyFill="1" applyBorder="1"/>
    <xf numFmtId="174" fontId="0" fillId="7" borderId="20" xfId="0" applyNumberFormat="1" applyFill="1" applyBorder="1"/>
    <xf numFmtId="14" fontId="0" fillId="7" borderId="20" xfId="0" applyNumberFormat="1" applyFill="1" applyBorder="1"/>
    <xf numFmtId="0" fontId="0" fillId="7" borderId="20" xfId="0" applyFill="1" applyBorder="1" applyAlignment="1">
      <alignment horizontal="right"/>
    </xf>
    <xf numFmtId="10" fontId="0" fillId="7" borderId="20" xfId="0" applyNumberFormat="1" applyFill="1" applyBorder="1"/>
    <xf numFmtId="0" fontId="38" fillId="0" borderId="21" xfId="0" applyFont="1" applyBorder="1"/>
    <xf numFmtId="0" fontId="0" fillId="0" borderId="22" xfId="0" applyBorder="1"/>
    <xf numFmtId="9" fontId="0" fillId="7" borderId="23" xfId="0" applyNumberFormat="1" applyFill="1" applyBorder="1"/>
    <xf numFmtId="10" fontId="0" fillId="0" borderId="0" xfId="0" applyNumberFormat="1"/>
    <xf numFmtId="0" fontId="48" fillId="8" borderId="0" xfId="0" applyFont="1" applyFill="1"/>
    <xf numFmtId="177" fontId="0" fillId="0" borderId="18" xfId="0" applyNumberFormat="1" applyBorder="1" applyAlignment="1">
      <alignment horizontal="right"/>
    </xf>
    <xf numFmtId="0" fontId="49" fillId="0" borderId="0" xfId="0" applyFont="1" applyAlignment="1">
      <alignment horizontal="right"/>
    </xf>
    <xf numFmtId="175" fontId="49" fillId="0" borderId="0" xfId="0" applyNumberFormat="1" applyFont="1" applyAlignment="1">
      <alignment horizontal="right"/>
    </xf>
    <xf numFmtId="0" fontId="50" fillId="0" borderId="0" xfId="0" applyFont="1" applyAlignment="1">
      <alignment horizontal="center"/>
    </xf>
    <xf numFmtId="0" fontId="45" fillId="0" borderId="0" xfId="0" applyFont="1" applyAlignment="1">
      <alignment horizontal="left" vertical="top" wrapText="1"/>
    </xf>
    <xf numFmtId="0" fontId="44" fillId="8" borderId="24" xfId="0" applyFont="1" applyFill="1" applyBorder="1" applyAlignment="1">
      <alignment horizontal="center"/>
    </xf>
    <xf numFmtId="0" fontId="44" fillId="8" borderId="25" xfId="0" applyFont="1" applyFill="1" applyBorder="1" applyAlignment="1">
      <alignment horizontal="center"/>
    </xf>
    <xf numFmtId="0" fontId="44" fillId="8" borderId="26" xfId="0" applyFont="1" applyFill="1" applyBorder="1" applyAlignment="1">
      <alignment horizontal="center"/>
    </xf>
    <xf numFmtId="0" fontId="44" fillId="0" borderId="24" xfId="0" applyFont="1" applyBorder="1" applyAlignment="1">
      <alignment horizontal="center"/>
    </xf>
    <xf numFmtId="0" fontId="44" fillId="0" borderId="25" xfId="0" applyFont="1" applyBorder="1" applyAlignment="1">
      <alignment horizontal="center"/>
    </xf>
    <xf numFmtId="0" fontId="44" fillId="0" borderId="26" xfId="0" applyFont="1" applyBorder="1" applyAlignment="1">
      <alignment horizontal="center"/>
    </xf>
    <xf numFmtId="0" fontId="17" fillId="8" borderId="0" xfId="0" applyFont="1" applyFill="1" applyAlignment="1">
      <alignment horizontal="left"/>
    </xf>
    <xf numFmtId="0" fontId="48" fillId="8" borderId="0" xfId="0" applyFont="1" applyFill="1" applyAlignment="1">
      <alignment horizontal="left"/>
    </xf>
    <xf numFmtId="0" fontId="5" fillId="8" borderId="0" xfId="0" applyFont="1" applyFill="1" applyAlignment="1">
      <alignment horizontal="center" vertical="center"/>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xf>
    <xf numFmtId="0" fontId="38" fillId="8" borderId="30" xfId="0" applyFont="1" applyFill="1" applyBorder="1" applyAlignment="1">
      <alignment horizontal="center"/>
    </xf>
    <xf numFmtId="0" fontId="38" fillId="8" borderId="31" xfId="0" applyFont="1" applyFill="1" applyBorder="1" applyAlignment="1">
      <alignment horizontal="center"/>
    </xf>
    <xf numFmtId="1" fontId="38" fillId="8" borderId="31" xfId="0" applyNumberFormat="1" applyFont="1" applyFill="1" applyBorder="1" applyAlignment="1">
      <alignment horizontal="center"/>
    </xf>
    <xf numFmtId="0" fontId="39" fillId="8" borderId="31" xfId="0" applyFont="1" applyFill="1" applyBorder="1" applyAlignment="1">
      <alignment horizontal="center"/>
    </xf>
    <xf numFmtId="0" fontId="39" fillId="8" borderId="32" xfId="0" applyFont="1" applyFill="1" applyBorder="1" applyAlignment="1">
      <alignment horizontal="center"/>
    </xf>
    <xf numFmtId="0" fontId="37" fillId="4" borderId="9" xfId="0" applyFont="1" applyFill="1" applyBorder="1" applyAlignment="1">
      <alignment horizontal="center" vertical="center"/>
    </xf>
    <xf numFmtId="0" fontId="37" fillId="4" borderId="10" xfId="0" applyFont="1" applyFill="1" applyBorder="1" applyAlignment="1">
      <alignment horizontal="center" vertical="center"/>
    </xf>
    <xf numFmtId="0" fontId="37" fillId="4" borderId="11" xfId="0" applyFont="1" applyFill="1" applyBorder="1" applyAlignment="1">
      <alignment horizontal="center" vertical="center"/>
    </xf>
    <xf numFmtId="0" fontId="37" fillId="4" borderId="12"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13" xfId="0" applyFont="1" applyFill="1" applyBorder="1" applyAlignment="1">
      <alignment horizontal="center" vertical="center"/>
    </xf>
    <xf numFmtId="0" fontId="37" fillId="4" borderId="14" xfId="0" applyFont="1" applyFill="1" applyBorder="1" applyAlignment="1">
      <alignment horizontal="center" vertical="center"/>
    </xf>
    <xf numFmtId="0" fontId="37" fillId="4" borderId="15" xfId="0" applyFont="1" applyFill="1" applyBorder="1" applyAlignment="1">
      <alignment horizontal="center" vertical="center"/>
    </xf>
    <xf numFmtId="0" fontId="37" fillId="4" borderId="16" xfId="0" applyFont="1" applyFill="1" applyBorder="1" applyAlignment="1">
      <alignment horizontal="center" vertical="center"/>
    </xf>
    <xf numFmtId="0" fontId="38" fillId="0" borderId="38" xfId="0" applyFont="1" applyBorder="1" applyAlignment="1">
      <alignment horizontal="center"/>
    </xf>
    <xf numFmtId="0" fontId="38" fillId="0" borderId="39" xfId="0" applyFont="1" applyBorder="1" applyAlignment="1">
      <alignment horizontal="center"/>
    </xf>
    <xf numFmtId="0" fontId="38" fillId="0" borderId="40" xfId="0" applyFont="1" applyBorder="1" applyAlignment="1">
      <alignment horizontal="center"/>
    </xf>
    <xf numFmtId="0" fontId="0" fillId="4" borderId="9" xfId="0" applyFill="1" applyBorder="1" applyAlignment="1">
      <alignment horizontal="center" wrapText="1"/>
    </xf>
    <xf numFmtId="0" fontId="0" fillId="4" borderId="12" xfId="0" applyFill="1" applyBorder="1" applyAlignment="1">
      <alignment horizontal="center" wrapText="1"/>
    </xf>
    <xf numFmtId="0" fontId="0" fillId="4" borderId="10" xfId="0" applyFill="1" applyBorder="1" applyAlignment="1">
      <alignment horizontal="center" wrapText="1"/>
    </xf>
    <xf numFmtId="0" fontId="0" fillId="4" borderId="8" xfId="0" applyFill="1" applyBorder="1" applyAlignment="1">
      <alignment horizontal="center" wrapText="1"/>
    </xf>
    <xf numFmtId="0" fontId="0" fillId="4" borderId="11" xfId="0" applyFill="1" applyBorder="1" applyAlignment="1">
      <alignment horizontal="center" wrapText="1"/>
    </xf>
    <xf numFmtId="0" fontId="0" fillId="4" borderId="13" xfId="0" applyFill="1" applyBorder="1" applyAlignment="1">
      <alignment horizontal="center" wrapText="1"/>
    </xf>
    <xf numFmtId="0" fontId="0" fillId="4" borderId="12" xfId="0" applyFill="1" applyBorder="1" applyAlignment="1">
      <alignment horizontal="center" vertical="center"/>
    </xf>
    <xf numFmtId="37" fontId="0" fillId="4" borderId="8" xfId="0" applyNumberFormat="1" applyFill="1" applyBorder="1" applyAlignment="1">
      <alignment horizontal="center" vertical="center"/>
    </xf>
    <xf numFmtId="0" fontId="0" fillId="4" borderId="8" xfId="0" applyFill="1" applyBorder="1" applyAlignment="1">
      <alignment horizontal="center" vertical="center"/>
    </xf>
    <xf numFmtId="165" fontId="0" fillId="4" borderId="13" xfId="0" applyNumberFormat="1"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3" fontId="5" fillId="2" borderId="0" xfId="0" applyNumberFormat="1" applyFont="1" applyFill="1" applyAlignment="1">
      <alignment horizontal="center" vertical="center" shrinkToFit="1"/>
    </xf>
  </cellXfs>
  <cellStyles count="2">
    <cellStyle name="Normal" xfId="0" builtinId="0"/>
    <cellStyle name="Percent" xfId="1" builtinId="5"/>
  </cellStyles>
  <dxfs count="47">
    <dxf>
      <fill>
        <patternFill>
          <bgColor theme="0" tint="-0.14996795556505021"/>
        </patternFill>
      </fill>
    </dxf>
    <dxf>
      <fill>
        <patternFill patternType="solid">
          <bgColor theme="0"/>
        </patternFill>
      </fill>
    </dxf>
    <dxf>
      <fill>
        <patternFill>
          <bgColor rgb="FFCCFFCC"/>
        </patternFill>
      </fill>
    </dxf>
    <dxf>
      <fill>
        <patternFill>
          <bgColor theme="0" tint="-0.14996795556505021"/>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strike val="0"/>
        <outline val="0"/>
        <shadow val="0"/>
        <u val="none"/>
        <vertAlign val="baseline"/>
        <sz val="11"/>
        <color auto="1"/>
        <name val="Calibri"/>
        <family val="2"/>
        <scheme val="minor"/>
      </font>
      <alignment horizontal="left"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0" indent="0" justifyLastLine="0" shrinkToFit="0" readingOrder="0"/>
    </dxf>
    <dxf>
      <font>
        <strike val="0"/>
        <outline val="0"/>
        <shadow val="0"/>
        <u val="none"/>
        <vertAlign val="baseline"/>
        <sz val="11"/>
        <color auto="1"/>
        <name val="Calibri"/>
        <family val="2"/>
        <scheme val="minor"/>
      </font>
      <alignment horizontal="center" vertical="center" textRotation="0" wrapText="0" indent="0" justifyLastLine="0" shrinkToFit="0" readingOrder="0"/>
    </dxf>
    <dxf>
      <border outline="0">
        <top style="thin">
          <color theme="9"/>
        </top>
      </border>
    </dxf>
    <dxf>
      <font>
        <strike val="0"/>
        <outline val="0"/>
        <shadow val="0"/>
        <u val="none"/>
        <vertAlign val="baseline"/>
        <sz val="11"/>
        <color auto="1"/>
        <name val="Calibri"/>
        <family val="2"/>
        <scheme val="minor"/>
      </font>
    </dxf>
    <dxf>
      <border outline="0">
        <bottom style="thin">
          <color theme="9"/>
        </bottom>
      </border>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1"/>
        <color auto="1"/>
        <name val="Calibri"/>
        <family val="2"/>
        <scheme val="minor"/>
      </font>
      <alignment horizontal="center" vertical="center" textRotation="0" indent="0" justifyLastLine="0" shrinkToFit="0" readingOrder="0"/>
    </dxf>
    <dxf>
      <font>
        <strike val="0"/>
        <outline val="0"/>
        <shadow val="0"/>
        <u val="none"/>
        <vertAlign val="baseline"/>
        <sz val="11"/>
        <color auto="1"/>
        <name val="Calibri"/>
        <family val="2"/>
        <scheme val="minor"/>
      </font>
    </dxf>
  </dxfs>
  <tableStyles count="0" defaultTableStyle="TableStyleMedium2" defaultPivotStyle="PivotStyleLight16"/>
  <colors>
    <mruColors>
      <color rgb="FF0000FF"/>
      <color rgb="FFDDDDDD"/>
      <color rgb="FFCCFFCC"/>
      <color rgb="FF99FF99"/>
      <color rgb="FFE2E2E2"/>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Recommended Reserve Funding Graph</a:t>
            </a:r>
          </a:p>
        </c:rich>
      </c:tx>
      <c:overlay val="0"/>
    </c:title>
    <c:autoTitleDeleted val="0"/>
    <c:plotArea>
      <c:layout/>
      <c:barChart>
        <c:barDir val="col"/>
        <c:grouping val="stacked"/>
        <c:varyColors val="0"/>
        <c:ser>
          <c:idx val="0"/>
          <c:order val="0"/>
          <c:tx>
            <c:v>Reserve Expenditures</c:v>
          </c:tx>
          <c:spPr>
            <a:solidFill>
              <a:srgbClr val="C00000"/>
            </a:solidFill>
            <a:ln>
              <a:solidFill>
                <a:schemeClr val="tx1"/>
              </a:solidFill>
            </a:ln>
          </c:spPr>
          <c:invertIfNegative val="0"/>
          <c:cat>
            <c:numRef>
              <c:f>'Funding Plan'!$D$992:$AH$992</c:f>
              <c:numCache>
                <c:formatCode>General</c:formatCode>
                <c:ptCount val="31"/>
                <c:pt idx="0" formatCode="&quot;FY&quot;000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numCache>
            </c:numRef>
          </c:cat>
          <c:val>
            <c:numRef>
              <c:f>'Funding Plan'!$D$1003:$AH$1003</c:f>
              <c:numCache>
                <c:formatCode>#,##0</c:formatCode>
                <c:ptCount val="31"/>
                <c:pt idx="0">
                  <c:v>0</c:v>
                </c:pt>
                <c:pt idx="1">
                  <c:v>-8116.4</c:v>
                </c:pt>
                <c:pt idx="2">
                  <c:v>-545859.49999999988</c:v>
                </c:pt>
                <c:pt idx="3">
                  <c:v>-505850.64999999997</c:v>
                </c:pt>
                <c:pt idx="4">
                  <c:v>-19471.3</c:v>
                </c:pt>
                <c:pt idx="5">
                  <c:v>-267328.58</c:v>
                </c:pt>
                <c:pt idx="6">
                  <c:v>-120742.6</c:v>
                </c:pt>
                <c:pt idx="7">
                  <c:v>-38261.4</c:v>
                </c:pt>
                <c:pt idx="8">
                  <c:v>0</c:v>
                </c:pt>
                <c:pt idx="9">
                  <c:v>-97505.73000000001</c:v>
                </c:pt>
                <c:pt idx="10">
                  <c:v>-26206.400000000001</c:v>
                </c:pt>
                <c:pt idx="11">
                  <c:v>-377169.1</c:v>
                </c:pt>
                <c:pt idx="12">
                  <c:v>-388484.2</c:v>
                </c:pt>
                <c:pt idx="13">
                  <c:v>-21925.200000000001</c:v>
                </c:pt>
                <c:pt idx="14">
                  <c:v>-222464.1</c:v>
                </c:pt>
                <c:pt idx="15">
                  <c:v>0</c:v>
                </c:pt>
                <c:pt idx="16">
                  <c:v>-401016.10000000003</c:v>
                </c:pt>
                <c:pt idx="17">
                  <c:v>-376650.9</c:v>
                </c:pt>
                <c:pt idx="18">
                  <c:v>0</c:v>
                </c:pt>
                <c:pt idx="19">
                  <c:v>0</c:v>
                </c:pt>
                <c:pt idx="20">
                  <c:v>0</c:v>
                </c:pt>
                <c:pt idx="21">
                  <c:v>-54981</c:v>
                </c:pt>
                <c:pt idx="22">
                  <c:v>-37555.599999999999</c:v>
                </c:pt>
                <c:pt idx="23">
                  <c:v>0</c:v>
                </c:pt>
                <c:pt idx="24">
                  <c:v>-15855.8</c:v>
                </c:pt>
                <c:pt idx="25">
                  <c:v>-1525997.6399999997</c:v>
                </c:pt>
                <c:pt idx="26">
                  <c:v>-934936.2</c:v>
                </c:pt>
                <c:pt idx="27">
                  <c:v>-95515.4</c:v>
                </c:pt>
                <c:pt idx="28">
                  <c:v>-117599.5</c:v>
                </c:pt>
                <c:pt idx="29">
                  <c:v>-215107.34</c:v>
                </c:pt>
                <c:pt idx="30">
                  <c:v>-146606.70000000001</c:v>
                </c:pt>
              </c:numCache>
            </c:numRef>
          </c:val>
          <c:extLst>
            <c:ext xmlns:c16="http://schemas.microsoft.com/office/drawing/2014/chart" uri="{C3380CC4-5D6E-409C-BE32-E72D297353CC}">
              <c16:uniqueId val="{00000000-7425-429A-B12B-4D39367E6D96}"/>
            </c:ext>
          </c:extLst>
        </c:ser>
        <c:ser>
          <c:idx val="1"/>
          <c:order val="1"/>
          <c:tx>
            <c:v>Recommended Reserve Contributions</c:v>
          </c:tx>
          <c:spPr>
            <a:solidFill>
              <a:srgbClr val="00B050"/>
            </a:solidFill>
            <a:ln>
              <a:solidFill>
                <a:schemeClr val="tx1"/>
              </a:solidFill>
            </a:ln>
          </c:spPr>
          <c:invertIfNegative val="0"/>
          <c:cat>
            <c:numRef>
              <c:f>'Funding Plan'!$D$992:$AH$992</c:f>
              <c:numCache>
                <c:formatCode>General</c:formatCode>
                <c:ptCount val="31"/>
                <c:pt idx="0" formatCode="&quot;FY&quot;000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numCache>
            </c:numRef>
          </c:cat>
          <c:val>
            <c:numRef>
              <c:f>'Funding Plan'!$D$993:$AH$993</c:f>
              <c:numCache>
                <c:formatCode>#,##0_);\(#,##0\)</c:formatCode>
                <c:ptCount val="31"/>
                <c:pt idx="0">
                  <c:v>204655</c:v>
                </c:pt>
                <c:pt idx="1">
                  <c:v>224000</c:v>
                </c:pt>
                <c:pt idx="2">
                  <c:v>224000</c:v>
                </c:pt>
                <c:pt idx="3">
                  <c:v>224000</c:v>
                </c:pt>
                <c:pt idx="4">
                  <c:v>137000</c:v>
                </c:pt>
                <c:pt idx="5">
                  <c:v>141100</c:v>
                </c:pt>
                <c:pt idx="6">
                  <c:v>145300</c:v>
                </c:pt>
                <c:pt idx="7">
                  <c:v>149700</c:v>
                </c:pt>
                <c:pt idx="8">
                  <c:v>154200</c:v>
                </c:pt>
                <c:pt idx="9">
                  <c:v>158800</c:v>
                </c:pt>
                <c:pt idx="10">
                  <c:v>163600</c:v>
                </c:pt>
                <c:pt idx="11">
                  <c:v>168500</c:v>
                </c:pt>
                <c:pt idx="12">
                  <c:v>173600</c:v>
                </c:pt>
                <c:pt idx="13">
                  <c:v>178800</c:v>
                </c:pt>
                <c:pt idx="14">
                  <c:v>184200</c:v>
                </c:pt>
                <c:pt idx="15">
                  <c:v>189700</c:v>
                </c:pt>
                <c:pt idx="16">
                  <c:v>195400</c:v>
                </c:pt>
                <c:pt idx="17">
                  <c:v>201300</c:v>
                </c:pt>
                <c:pt idx="18">
                  <c:v>207300</c:v>
                </c:pt>
                <c:pt idx="19">
                  <c:v>213500</c:v>
                </c:pt>
                <c:pt idx="20">
                  <c:v>219900</c:v>
                </c:pt>
                <c:pt idx="21">
                  <c:v>226500</c:v>
                </c:pt>
                <c:pt idx="22">
                  <c:v>233300</c:v>
                </c:pt>
                <c:pt idx="23">
                  <c:v>240300</c:v>
                </c:pt>
                <c:pt idx="24">
                  <c:v>247500</c:v>
                </c:pt>
                <c:pt idx="25">
                  <c:v>254900</c:v>
                </c:pt>
                <c:pt idx="26">
                  <c:v>262500</c:v>
                </c:pt>
                <c:pt idx="27">
                  <c:v>270400</c:v>
                </c:pt>
                <c:pt idx="28">
                  <c:v>278500</c:v>
                </c:pt>
                <c:pt idx="29">
                  <c:v>286900</c:v>
                </c:pt>
                <c:pt idx="30">
                  <c:v>295500</c:v>
                </c:pt>
              </c:numCache>
            </c:numRef>
          </c:val>
          <c:extLst>
            <c:ext xmlns:c16="http://schemas.microsoft.com/office/drawing/2014/chart" uri="{C3380CC4-5D6E-409C-BE32-E72D297353CC}">
              <c16:uniqueId val="{00000001-7425-429A-B12B-4D39367E6D96}"/>
            </c:ext>
          </c:extLst>
        </c:ser>
        <c:ser>
          <c:idx val="2"/>
          <c:order val="3"/>
          <c:tx>
            <c:v>Additional Reserve Contribution</c:v>
          </c:tx>
          <c:spPr>
            <a:ln>
              <a:solidFill>
                <a:schemeClr val="tx1"/>
              </a:solidFill>
            </a:ln>
          </c:spPr>
          <c:invertIfNegative val="0"/>
          <c:cat>
            <c:numRef>
              <c:f>'Funding Plan'!$D$992:$AH$992</c:f>
              <c:numCache>
                <c:formatCode>General</c:formatCode>
                <c:ptCount val="31"/>
                <c:pt idx="0" formatCode="&quot;FY&quot;000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numCache>
            </c:numRef>
          </c:cat>
          <c:val>
            <c:numRef>
              <c:f>'Funding Plan'!$D$995:$AH$995</c:f>
              <c:numCache>
                <c:formatCode>#,##0_);\(#,##0\)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7425-429A-B12B-4D39367E6D96}"/>
            </c:ext>
          </c:extLst>
        </c:ser>
        <c:ser>
          <c:idx val="3"/>
          <c:order val="4"/>
          <c:tx>
            <c:v>Additional Assessment</c:v>
          </c:tx>
          <c:spPr>
            <a:ln>
              <a:solidFill>
                <a:schemeClr val="tx1"/>
              </a:solidFill>
            </a:ln>
          </c:spPr>
          <c:invertIfNegative val="0"/>
          <c:cat>
            <c:numRef>
              <c:f>'Funding Plan'!$D$992:$AH$992</c:f>
              <c:numCache>
                <c:formatCode>General</c:formatCode>
                <c:ptCount val="31"/>
                <c:pt idx="0" formatCode="&quot;FY&quot;000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numCache>
            </c:numRef>
          </c:cat>
          <c:val>
            <c:numRef>
              <c:f>'Funding Plan'!$D$994:$AH$994</c:f>
              <c:numCache>
                <c:formatCode>#,##0_);\(#,##0\)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7425-429A-B12B-4D39367E6D96}"/>
            </c:ext>
          </c:extLst>
        </c:ser>
        <c:dLbls>
          <c:showLegendKey val="0"/>
          <c:showVal val="0"/>
          <c:showCatName val="0"/>
          <c:showSerName val="0"/>
          <c:showPercent val="0"/>
          <c:showBubbleSize val="0"/>
        </c:dLbls>
        <c:gapWidth val="0"/>
        <c:overlap val="100"/>
        <c:axId val="1658245312"/>
        <c:axId val="1455453568"/>
      </c:barChart>
      <c:lineChart>
        <c:grouping val="standard"/>
        <c:varyColors val="0"/>
        <c:ser>
          <c:idx val="4"/>
          <c:order val="2"/>
          <c:tx>
            <c:v>Year-End Reserve Balance</c:v>
          </c:tx>
          <c:spPr>
            <a:ln w="38100">
              <a:solidFill>
                <a:srgbClr val="002060"/>
              </a:solidFill>
            </a:ln>
          </c:spPr>
          <c:marker>
            <c:symbol val="none"/>
          </c:marker>
          <c:cat>
            <c:numRef>
              <c:f>'Funding Plan'!$D$992:$AH$992</c:f>
              <c:numCache>
                <c:formatCode>General</c:formatCode>
                <c:ptCount val="31"/>
                <c:pt idx="0" formatCode="&quot;FY&quot;000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numCache>
            </c:numRef>
          </c:cat>
          <c:val>
            <c:numRef>
              <c:f>'Funding Plan'!$D$996:$AH$996</c:f>
              <c:numCache>
                <c:formatCode>[$$-409]#,##0_);[Red]\([$$-409]#,##0\)</c:formatCode>
                <c:ptCount val="31"/>
                <c:pt idx="0">
                  <c:v>492515.36</c:v>
                </c:pt>
                <c:pt idx="1">
                  <c:v>729414.96</c:v>
                </c:pt>
                <c:pt idx="2">
                  <c:v>427452.46000000008</c:v>
                </c:pt>
                <c:pt idx="3">
                  <c:v>155629.81000000011</c:v>
                </c:pt>
                <c:pt idx="4">
                  <c:v>280662.51000000013</c:v>
                </c:pt>
                <c:pt idx="5">
                  <c:v>162047.93000000011</c:v>
                </c:pt>
                <c:pt idx="6">
                  <c:v>192706.3300000001</c:v>
                </c:pt>
                <c:pt idx="7">
                  <c:v>312839.93000000005</c:v>
                </c:pt>
                <c:pt idx="8">
                  <c:v>480687.93000000005</c:v>
                </c:pt>
                <c:pt idx="9">
                  <c:v>559879.20000000007</c:v>
                </c:pt>
                <c:pt idx="10">
                  <c:v>719272.8</c:v>
                </c:pt>
                <c:pt idx="11">
                  <c:v>532126.70000000007</c:v>
                </c:pt>
                <c:pt idx="12">
                  <c:v>332106.50000000006</c:v>
                </c:pt>
                <c:pt idx="13">
                  <c:v>503350.3</c:v>
                </c:pt>
                <c:pt idx="14">
                  <c:v>482034.20000000007</c:v>
                </c:pt>
                <c:pt idx="15">
                  <c:v>691925.20000000007</c:v>
                </c:pt>
                <c:pt idx="16">
                  <c:v>506928.10000000003</c:v>
                </c:pt>
                <c:pt idx="17">
                  <c:v>346251.20000000007</c:v>
                </c:pt>
                <c:pt idx="18">
                  <c:v>569298.20000000007</c:v>
                </c:pt>
                <c:pt idx="19">
                  <c:v>806460.20000000007</c:v>
                </c:pt>
                <c:pt idx="20">
                  <c:v>1058434.2000000002</c:v>
                </c:pt>
                <c:pt idx="21">
                  <c:v>1270000.2000000002</c:v>
                </c:pt>
                <c:pt idx="22">
                  <c:v>1513620.6</c:v>
                </c:pt>
                <c:pt idx="23">
                  <c:v>1811102.6</c:v>
                </c:pt>
                <c:pt idx="24">
                  <c:v>2110188.8000000003</c:v>
                </c:pt>
                <c:pt idx="25">
                  <c:v>890703.16000000061</c:v>
                </c:pt>
                <c:pt idx="26">
                  <c:v>237673.96000000066</c:v>
                </c:pt>
                <c:pt idx="27">
                  <c:v>423937.56000000064</c:v>
                </c:pt>
                <c:pt idx="28">
                  <c:v>602492.06000000064</c:v>
                </c:pt>
                <c:pt idx="29">
                  <c:v>696628.72000000067</c:v>
                </c:pt>
                <c:pt idx="30">
                  <c:v>872510.02000000072</c:v>
                </c:pt>
              </c:numCache>
            </c:numRef>
          </c:val>
          <c:smooth val="0"/>
          <c:extLst>
            <c:ext xmlns:c16="http://schemas.microsoft.com/office/drawing/2014/chart" uri="{C3380CC4-5D6E-409C-BE32-E72D297353CC}">
              <c16:uniqueId val="{00000004-7425-429A-B12B-4D39367E6D96}"/>
            </c:ext>
          </c:extLst>
        </c:ser>
        <c:dLbls>
          <c:showLegendKey val="0"/>
          <c:showVal val="0"/>
          <c:showCatName val="0"/>
          <c:showSerName val="0"/>
          <c:showPercent val="0"/>
          <c:showBubbleSize val="0"/>
        </c:dLbls>
        <c:marker val="1"/>
        <c:smooth val="0"/>
        <c:axId val="1658245312"/>
        <c:axId val="1455453568"/>
      </c:lineChart>
      <c:catAx>
        <c:axId val="1658245312"/>
        <c:scaling>
          <c:orientation val="minMax"/>
        </c:scaling>
        <c:delete val="0"/>
        <c:axPos val="b"/>
        <c:numFmt formatCode="&quot;FY&quot;0000" sourceLinked="1"/>
        <c:majorTickMark val="none"/>
        <c:minorTickMark val="none"/>
        <c:tickLblPos val="low"/>
        <c:txPr>
          <a:bodyPr rot="-1800000" vert="horz"/>
          <a:lstStyle/>
          <a:p>
            <a:pPr>
              <a:defRPr/>
            </a:pPr>
            <a:endParaRPr lang="en-US"/>
          </a:p>
        </c:txPr>
        <c:crossAx val="1455453568"/>
        <c:crosses val="autoZero"/>
        <c:auto val="1"/>
        <c:lblAlgn val="ctr"/>
        <c:lblOffset val="100"/>
        <c:noMultiLvlLbl val="0"/>
      </c:catAx>
      <c:valAx>
        <c:axId val="1455453568"/>
        <c:scaling>
          <c:orientation val="minMax"/>
        </c:scaling>
        <c:delete val="0"/>
        <c:axPos val="l"/>
        <c:majorGridlines/>
        <c:title>
          <c:tx>
            <c:rich>
              <a:bodyPr/>
              <a:lstStyle/>
              <a:p>
                <a:pPr>
                  <a:defRPr/>
                </a:pPr>
                <a:r>
                  <a:rPr lang="en-US"/>
                  <a:t>$</a:t>
                </a:r>
                <a:r>
                  <a:rPr lang="en-US" baseline="0"/>
                  <a:t> Dollars</a:t>
                </a:r>
                <a:endParaRPr lang="en-US"/>
              </a:p>
            </c:rich>
          </c:tx>
          <c:overlay val="0"/>
        </c:title>
        <c:numFmt formatCode="#,##0" sourceLinked="1"/>
        <c:majorTickMark val="out"/>
        <c:minorTickMark val="none"/>
        <c:tickLblPos val="nextTo"/>
        <c:crossAx val="1658245312"/>
        <c:crosses val="autoZero"/>
        <c:crossBetween val="between"/>
      </c:valAx>
    </c:plotArea>
    <c:legend>
      <c:legendPos val="b"/>
      <c:layout>
        <c:manualLayout>
          <c:xMode val="edge"/>
          <c:yMode val="edge"/>
          <c:x val="9.2143315233762374E-2"/>
          <c:y val="0.91486738499792786"/>
          <c:w val="0.83678325939620946"/>
          <c:h val="8.2932599932185505E-2"/>
        </c:manualLayout>
      </c:layout>
      <c:overlay val="0"/>
      <c:spPr>
        <a:ln>
          <a:noFill/>
        </a:ln>
      </c:sp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24</xdr:row>
      <xdr:rowOff>180975</xdr:rowOff>
    </xdr:from>
    <xdr:to>
      <xdr:col>0</xdr:col>
      <xdr:colOff>1893677</xdr:colOff>
      <xdr:row>28</xdr:row>
      <xdr:rowOff>150615</xdr:rowOff>
    </xdr:to>
    <xdr:pic>
      <xdr:nvPicPr>
        <xdr:cNvPr id="3" name="Picture 2">
          <a:extLst>
            <a:ext uri="{FF2B5EF4-FFF2-40B4-BE49-F238E27FC236}">
              <a16:creationId xmlns:a16="http://schemas.microsoft.com/office/drawing/2014/main" id="{483A6A01-2A4A-4AB7-AE17-68D575812E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4762500"/>
          <a:ext cx="1712702" cy="731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1712702</xdr:colOff>
      <xdr:row>4</xdr:row>
      <xdr:rowOff>160140</xdr:rowOff>
    </xdr:to>
    <xdr:pic>
      <xdr:nvPicPr>
        <xdr:cNvPr id="5" name="Picture 4">
          <a:extLst>
            <a:ext uri="{FF2B5EF4-FFF2-40B4-BE49-F238E27FC236}">
              <a16:creationId xmlns:a16="http://schemas.microsoft.com/office/drawing/2014/main" id="{41B7435F-703A-4D29-B529-1F2E921188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712702" cy="731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40821</xdr:colOff>
      <xdr:row>0</xdr:row>
      <xdr:rowOff>0</xdr:rowOff>
    </xdr:from>
    <xdr:to>
      <xdr:col>5</xdr:col>
      <xdr:colOff>203797</xdr:colOff>
      <xdr:row>3</xdr:row>
      <xdr:rowOff>204107</xdr:rowOff>
    </xdr:to>
    <xdr:pic>
      <xdr:nvPicPr>
        <xdr:cNvPr id="2" name="Picture 1">
          <a:extLst>
            <a:ext uri="{FF2B5EF4-FFF2-40B4-BE49-F238E27FC236}">
              <a16:creationId xmlns:a16="http://schemas.microsoft.com/office/drawing/2014/main" id="{D2E9037A-38D6-4275-8EAE-2955B4FC05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821" y="0"/>
          <a:ext cx="2693904" cy="11470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50</xdr:row>
      <xdr:rowOff>0</xdr:rowOff>
    </xdr:from>
    <xdr:to>
      <xdr:col>9</xdr:col>
      <xdr:colOff>184150</xdr:colOff>
      <xdr:row>76</xdr:row>
      <xdr:rowOff>165100</xdr:rowOff>
    </xdr:to>
    <xdr:graphicFrame macro="">
      <xdr:nvGraphicFramePr>
        <xdr:cNvPr id="2" name="Chart 1">
          <a:extLst>
            <a:ext uri="{FF2B5EF4-FFF2-40B4-BE49-F238E27FC236}">
              <a16:creationId xmlns:a16="http://schemas.microsoft.com/office/drawing/2014/main" id="{433B6A06-B429-4505-9DF2-3D1BF6F07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639537</xdr:colOff>
      <xdr:row>0</xdr:row>
      <xdr:rowOff>0</xdr:rowOff>
    </xdr:from>
    <xdr:to>
      <xdr:col>20</xdr:col>
      <xdr:colOff>1051</xdr:colOff>
      <xdr:row>3</xdr:row>
      <xdr:rowOff>149678</xdr:rowOff>
    </xdr:to>
    <xdr:pic>
      <xdr:nvPicPr>
        <xdr:cNvPr id="3" name="Picture 2">
          <a:extLst>
            <a:ext uri="{FF2B5EF4-FFF2-40B4-BE49-F238E27FC236}">
              <a16:creationId xmlns:a16="http://schemas.microsoft.com/office/drawing/2014/main" id="{859E8A1F-046A-406B-AD33-06B94A350E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718112" y="0"/>
          <a:ext cx="2704789" cy="115524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6E608DE-C2E7-40CC-88C5-9DBACD0ADA2B}" name="Table5" displayName="Table5" ref="A8:C15" totalsRowShown="0" headerRowDxfId="46" dataDxfId="45">
  <autoFilter ref="A8:C15" xr:uid="{1B7294FF-FC0E-4737-A24D-92B49BAAA5A8}">
    <filterColumn colId="0" hiddenButton="1"/>
    <filterColumn colId="1" hiddenButton="1"/>
    <filterColumn colId="2" hiddenButton="1"/>
  </autoFilter>
  <tableColumns count="3">
    <tableColumn id="1" xr3:uid="{5C780883-C5EF-408D-A206-FF007881DB6A}" name="Column Range Address" dataDxfId="44"/>
    <tableColumn id="2" xr3:uid="{AFE9B91B-C9F7-41B7-BD5D-4A3FAFE12AAC}" name="Column Name" dataDxfId="43"/>
    <tableColumn id="3" xr3:uid="{F82D1827-0317-411B-B42B-80EC0A29F0BD}" name="Description" dataDxfId="42"/>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A63C96-AE8C-4594-BC23-D7FEDF580DA3}" name="Table6" displayName="Table6" ref="A18:C23" totalsRowShown="0" headerRowDxfId="41" dataDxfId="39" headerRowBorderDxfId="40" tableBorderDxfId="38">
  <autoFilter ref="A18:C23" xr:uid="{B090C266-0807-4EF9-A461-B8E8806B5C88}">
    <filterColumn colId="0" hiddenButton="1"/>
    <filterColumn colId="1" hiddenButton="1"/>
    <filterColumn colId="2" hiddenButton="1"/>
  </autoFilter>
  <tableColumns count="3">
    <tableColumn id="1" xr3:uid="{5D67E9CC-050C-41B7-A054-C4902CAAD9FF}" name="Range Address" dataDxfId="37"/>
    <tableColumn id="2" xr3:uid="{EF059AC3-9E91-41CF-9DF1-86CE917B5553}" name="Column Name" dataDxfId="36"/>
    <tableColumn id="3" xr3:uid="{0CE54D56-6105-4BE7-963F-696D2FF68444}" name="Description" dataDxfId="35"/>
  </tableColumns>
  <tableStyleInfo name="TableStyleLight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1DA953-8CA0-446B-9BF1-6E2E6102053F}" name="ExpenseTable303" displayName="ExpenseTable303" ref="C1000:AH1003" totalsRowCount="1">
  <autoFilter ref="C1000:AH1002" xr:uid="{CCE7CD88-4B96-43C8-B67E-12511920C93E}"/>
  <tableColumns count="32">
    <tableColumn id="1" xr3:uid="{A6791291-39A3-4F0C-A726-FB8A192F2456}" name="Reference Expenditure Sheets" totalsRowLabel="Total"/>
    <tableColumn id="2" xr3:uid="{D0F806EC-0402-4B6C-B279-6DF2FDC7E317}" name="0" totalsRowFunction="sum" totalsRowDxfId="34">
      <calculatedColumnFormula>-IF($C1001="",0,INDIRECT("'"&amp; $C1001 &amp; "'!" &amp; "expenditures" &amp; ExpenseTable303[[#Headers],[0]]))</calculatedColumnFormula>
    </tableColumn>
    <tableColumn id="3" xr3:uid="{A89D6507-FD7C-49ED-9916-758226B38D37}" name="1" totalsRowFunction="sum" totalsRowDxfId="33">
      <calculatedColumnFormula>-IF($C1001="",0,INDIRECT("'"&amp; $C1001 &amp; "'!" &amp; "expenditures" &amp; ExpenseTable303[[#Headers],[1]]))</calculatedColumnFormula>
    </tableColumn>
    <tableColumn id="4" xr3:uid="{7029A30A-268A-4808-9796-4216ED88FEE7}" name="2" totalsRowFunction="sum" totalsRowDxfId="32">
      <calculatedColumnFormula>-IF($C1001="",0,INDIRECT("'"&amp; $C1001 &amp; "'!" &amp; "expenditures" &amp; ExpenseTable303[[#Headers],[2]]))</calculatedColumnFormula>
    </tableColumn>
    <tableColumn id="5" xr3:uid="{97DEA54F-7572-4216-A0DA-7E4091D4C058}" name="3" totalsRowFunction="sum" totalsRowDxfId="31">
      <calculatedColumnFormula>-IF($C1001="",0,INDIRECT("'"&amp; $C1001 &amp; "'!" &amp; "expenditures" &amp; ExpenseTable303[[#Headers],[3]]))</calculatedColumnFormula>
    </tableColumn>
    <tableColumn id="6" xr3:uid="{65BCDAA4-EFB2-47BA-9A7C-E468D7CD7495}" name="4" totalsRowFunction="sum" totalsRowDxfId="30">
      <calculatedColumnFormula>-IF($C1001="",0,INDIRECT("'"&amp; $C1001 &amp; "'!" &amp; "expenditures" &amp; ExpenseTable303[[#Headers],[4]]))</calculatedColumnFormula>
    </tableColumn>
    <tableColumn id="7" xr3:uid="{8CDC3999-B5FF-4B0A-813C-3DC2E8B5DBB0}" name="5" totalsRowFunction="sum" totalsRowDxfId="29">
      <calculatedColumnFormula>-IF($C1001="",0,INDIRECT("'"&amp; $C1001 &amp; "'!" &amp; "expenditures" &amp; ExpenseTable303[[#Headers],[5]]))</calculatedColumnFormula>
    </tableColumn>
    <tableColumn id="8" xr3:uid="{F40AAB61-A8DD-461F-A980-B6B6F21EBA22}" name="6" totalsRowFunction="sum" totalsRowDxfId="28">
      <calculatedColumnFormula>-IF($C1001="",0,INDIRECT("'"&amp; $C1001 &amp; "'!" &amp; "expenditures" &amp; ExpenseTable303[[#Headers],[6]]))</calculatedColumnFormula>
    </tableColumn>
    <tableColumn id="9" xr3:uid="{72AC35CE-0DBD-4DC4-9CC3-6F230B2BD1D4}" name="7" totalsRowFunction="sum" totalsRowDxfId="27">
      <calculatedColumnFormula>-IF($C1001="",0,INDIRECT("'"&amp; $C1001 &amp; "'!" &amp; "expenditures" &amp; ExpenseTable303[[#Headers],[7]]))</calculatedColumnFormula>
    </tableColumn>
    <tableColumn id="10" xr3:uid="{07067005-02EB-4627-A475-CEA8C0AD823B}" name="8" totalsRowFunction="sum" totalsRowDxfId="26">
      <calculatedColumnFormula>-IF($C1001="",0,INDIRECT("'"&amp; $C1001 &amp; "'!" &amp; "expenditures" &amp; ExpenseTable303[[#Headers],[8]]))</calculatedColumnFormula>
    </tableColumn>
    <tableColumn id="11" xr3:uid="{D67C0D4F-2B3B-409B-8B11-EBF8F0043DC3}" name="9" totalsRowFunction="sum" totalsRowDxfId="25">
      <calculatedColumnFormula>-IF($C1001="",0,INDIRECT("'"&amp; $C1001 &amp; "'!" &amp; "expenditures" &amp; ExpenseTable303[[#Headers],[9]]))</calculatedColumnFormula>
    </tableColumn>
    <tableColumn id="12" xr3:uid="{F9D68949-F778-418C-BD36-831554E331CB}" name="10" totalsRowFunction="sum" totalsRowDxfId="24">
      <calculatedColumnFormula>-IF($C1001="",0,INDIRECT("'"&amp; $C1001 &amp; "'!" &amp; "expenditures" &amp; ExpenseTable303[[#Headers],[10]]))</calculatedColumnFormula>
    </tableColumn>
    <tableColumn id="13" xr3:uid="{65877792-0834-4BDC-B7FE-89F00BBC1458}" name="11" totalsRowFunction="sum" totalsRowDxfId="23">
      <calculatedColumnFormula>-IF($C1001="",0,INDIRECT("'"&amp; $C1001 &amp; "'!" &amp; "expenditures" &amp; ExpenseTable303[[#Headers],[11]]))</calculatedColumnFormula>
    </tableColumn>
    <tableColumn id="14" xr3:uid="{74C9829F-60B3-4E5C-9E33-4DE05570ED4A}" name="12" totalsRowFunction="sum" totalsRowDxfId="22">
      <calculatedColumnFormula>-IF($C1001="",0,INDIRECT("'"&amp; $C1001 &amp; "'!" &amp; "expenditures" &amp; ExpenseTable303[[#Headers],[12]]))</calculatedColumnFormula>
    </tableColumn>
    <tableColumn id="15" xr3:uid="{43D71FC4-6173-4FF5-9731-F8ECC6777B9F}" name="13" totalsRowFunction="sum" totalsRowDxfId="21">
      <calculatedColumnFormula>-IF($C1001="",0,INDIRECT("'"&amp; $C1001 &amp; "'!" &amp; "expenditures" &amp; ExpenseTable303[[#Headers],[13]]))</calculatedColumnFormula>
    </tableColumn>
    <tableColumn id="16" xr3:uid="{28A07CDB-4222-402B-B1E3-08BE83BA894D}" name="14" totalsRowFunction="sum" totalsRowDxfId="20">
      <calculatedColumnFormula>-IF($C1001="",0,INDIRECT("'"&amp; $C1001 &amp; "'!" &amp; "expenditures" &amp; ExpenseTable303[[#Headers],[14]]))</calculatedColumnFormula>
    </tableColumn>
    <tableColumn id="17" xr3:uid="{6543E6BA-DD12-4D62-A46C-9E2C9A3FB2C2}" name="15" totalsRowFunction="sum" totalsRowDxfId="19">
      <calculatedColumnFormula>-IF($C1001="",0,INDIRECT("'"&amp; $C1001 &amp; "'!" &amp; "expenditures" &amp; ExpenseTable303[[#Headers],[15]]))</calculatedColumnFormula>
    </tableColumn>
    <tableColumn id="18" xr3:uid="{F0E541B0-4864-4E91-A816-4E6FB7040C2B}" name="16" totalsRowFunction="sum" totalsRowDxfId="18">
      <calculatedColumnFormula>-IF($C1001="",0,INDIRECT("'"&amp; $C1001 &amp; "'!" &amp; "expenditures" &amp; ExpenseTable303[[#Headers],[16]]))</calculatedColumnFormula>
    </tableColumn>
    <tableColumn id="19" xr3:uid="{4E116C79-EDCF-4257-8FC2-880A000E0800}" name="17" totalsRowFunction="sum" totalsRowDxfId="17">
      <calculatedColumnFormula>-IF($C1001="",0,INDIRECT("'"&amp; $C1001 &amp; "'!" &amp; "expenditures" &amp; ExpenseTable303[[#Headers],[17]]))</calculatedColumnFormula>
    </tableColumn>
    <tableColumn id="20" xr3:uid="{7D009DAE-AFDD-4AB1-8811-BC9DEA72D1BF}" name="18" totalsRowFunction="sum" totalsRowDxfId="16">
      <calculatedColumnFormula>-IF($C1001="",0,INDIRECT("'"&amp; $C1001 &amp; "'!" &amp; "expenditures" &amp; ExpenseTable303[[#Headers],[18]]))</calculatedColumnFormula>
    </tableColumn>
    <tableColumn id="21" xr3:uid="{E864157A-F869-4D3F-9841-5220DBD3F78A}" name="19" totalsRowFunction="sum" totalsRowDxfId="15">
      <calculatedColumnFormula>-IF($C1001="",0,INDIRECT("'"&amp; $C1001 &amp; "'!" &amp; "expenditures" &amp; ExpenseTable303[[#Headers],[19]]))</calculatedColumnFormula>
    </tableColumn>
    <tableColumn id="22" xr3:uid="{ED833092-1713-4B9A-98FD-491E27023704}" name="20" totalsRowFunction="sum" totalsRowDxfId="14">
      <calculatedColumnFormula>-IF($C1001="",0,INDIRECT("'"&amp; $C1001 &amp; "'!" &amp; "expenditures" &amp; ExpenseTable303[[#Headers],[20]]))</calculatedColumnFormula>
    </tableColumn>
    <tableColumn id="23" xr3:uid="{AFDD06E4-5230-40DC-A3DE-02E53F53F0CC}" name="21" totalsRowFunction="sum" totalsRowDxfId="13">
      <calculatedColumnFormula>-IF($C1001="",0,INDIRECT("'"&amp; $C1001 &amp; "'!" &amp; "expenditures" &amp; ExpenseTable303[[#Headers],[21]]))</calculatedColumnFormula>
    </tableColumn>
    <tableColumn id="24" xr3:uid="{2C53C820-0EB2-4322-B25C-88DF4776F909}" name="22" totalsRowFunction="sum" totalsRowDxfId="12">
      <calculatedColumnFormula>-IF($C1001="",0,INDIRECT("'"&amp; $C1001 &amp; "'!" &amp; "expenditures" &amp; ExpenseTable303[[#Headers],[22]]))</calculatedColumnFormula>
    </tableColumn>
    <tableColumn id="25" xr3:uid="{D538D031-F19A-4D61-B9E5-6C6A7B6D84B7}" name="23" totalsRowFunction="sum" totalsRowDxfId="11">
      <calculatedColumnFormula>-IF($C1001="",0,INDIRECT("'"&amp; $C1001 &amp; "'!" &amp; "expenditures" &amp; ExpenseTable303[[#Headers],[23]]))</calculatedColumnFormula>
    </tableColumn>
    <tableColumn id="26" xr3:uid="{D0DE2FD2-4213-4DB6-86CE-E0AC08348010}" name="24" totalsRowFunction="sum" totalsRowDxfId="10">
      <calculatedColumnFormula>-IF($C1001="",0,INDIRECT("'"&amp; $C1001 &amp; "'!" &amp; "expenditures" &amp; ExpenseTable303[[#Headers],[24]]))</calculatedColumnFormula>
    </tableColumn>
    <tableColumn id="27" xr3:uid="{CDE6B4F0-9BF8-4293-80CC-FD92948A6658}" name="25" totalsRowFunction="sum" totalsRowDxfId="9">
      <calculatedColumnFormula>-IF($C1001="",0,INDIRECT("'"&amp; $C1001 &amp; "'!" &amp; "expenditures" &amp; ExpenseTable303[[#Headers],[25]]))</calculatedColumnFormula>
    </tableColumn>
    <tableColumn id="28" xr3:uid="{83E01BEF-BC6F-4D0E-ACF4-3C584349C668}" name="26" totalsRowFunction="sum" totalsRowDxfId="8">
      <calculatedColumnFormula>-IF($C1001="",0,INDIRECT("'"&amp; $C1001 &amp; "'!" &amp; "expenditures" &amp; ExpenseTable303[[#Headers],[26]]))</calculatedColumnFormula>
    </tableColumn>
    <tableColumn id="29" xr3:uid="{C7FFF5FF-A00B-46FE-8230-92D742AFB066}" name="27" totalsRowFunction="sum" totalsRowDxfId="7">
      <calculatedColumnFormula>-IF($C1001="",0,INDIRECT("'"&amp; $C1001 &amp; "'!" &amp; "expenditures" &amp; ExpenseTable303[[#Headers],[27]]))</calculatedColumnFormula>
    </tableColumn>
    <tableColumn id="30" xr3:uid="{5A5C8DD8-0F59-4248-8E5F-9E36A01BD683}" name="28" totalsRowFunction="sum" totalsRowDxfId="6">
      <calculatedColumnFormula>-IF($C1001="",0,INDIRECT("'"&amp; $C1001 &amp; "'!" &amp; "expenditures" &amp; ExpenseTable303[[#Headers],[28]]))</calculatedColumnFormula>
    </tableColumn>
    <tableColumn id="31" xr3:uid="{3F196336-7005-468C-A683-94A45462A27F}" name="29" totalsRowFunction="sum" totalsRowDxfId="5">
      <calculatedColumnFormula>-IF($C1001="",0,INDIRECT("'"&amp; $C1001 &amp; "'!" &amp; "expenditures" &amp; ExpenseTable303[[#Headers],[29]]))</calculatedColumnFormula>
    </tableColumn>
    <tableColumn id="32" xr3:uid="{3510A877-0247-41F7-A2F8-AF00329DD80B}" name="30" totalsRowFunction="sum" totalsRowDxfId="4">
      <calculatedColumnFormula>-IF($C1001="",0,INDIRECT("'"&amp; $C1001 &amp; "'!" &amp; "expenditures" &amp; ExpenseTable303[[#Headers],[30]]))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4D0D-C0A8-4E87-9A65-2161C466F0B4}">
  <sheetPr codeName="Sheet2">
    <tabColor rgb="FF000000"/>
  </sheetPr>
  <dimension ref="A1:R30"/>
  <sheetViews>
    <sheetView showGridLines="0" topLeftCell="B1" workbookViewId="0">
      <selection activeCell="B1" sqref="B1"/>
    </sheetView>
  </sheetViews>
  <sheetFormatPr defaultRowHeight="15" x14ac:dyDescent="0.25"/>
  <cols>
    <col min="1" max="1" width="43.42578125" customWidth="1"/>
    <col min="2" max="2" width="128.140625" customWidth="1"/>
  </cols>
  <sheetData>
    <row r="1" spans="1:2" x14ac:dyDescent="0.25">
      <c r="A1" s="76" t="s">
        <v>0</v>
      </c>
      <c r="B1" s="272" t="s">
        <v>185</v>
      </c>
    </row>
    <row r="2" spans="1:2" x14ac:dyDescent="0.25">
      <c r="A2" s="40" t="s">
        <v>1</v>
      </c>
      <c r="B2" s="41" t="s">
        <v>187</v>
      </c>
    </row>
    <row r="3" spans="1:2" ht="15" customHeight="1" x14ac:dyDescent="0.25">
      <c r="A3" s="40" t="s">
        <v>2</v>
      </c>
      <c r="B3" s="41" t="s">
        <v>188</v>
      </c>
    </row>
    <row r="4" spans="1:2" x14ac:dyDescent="0.25">
      <c r="A4" s="40" t="s">
        <v>3</v>
      </c>
      <c r="B4" s="41" t="s">
        <v>189</v>
      </c>
    </row>
    <row r="5" spans="1:2" x14ac:dyDescent="0.25">
      <c r="A5" s="40" t="s">
        <v>4</v>
      </c>
      <c r="B5" s="42" t="s">
        <v>190</v>
      </c>
    </row>
    <row r="6" spans="1:2" ht="15" customHeight="1" x14ac:dyDescent="0.25">
      <c r="A6" s="40" t="s">
        <v>5</v>
      </c>
      <c r="B6" s="41">
        <v>30</v>
      </c>
    </row>
    <row r="7" spans="1:2" ht="15" customHeight="1" x14ac:dyDescent="0.25">
      <c r="A7" s="40" t="s">
        <v>6</v>
      </c>
      <c r="B7" s="41">
        <v>61</v>
      </c>
    </row>
    <row r="8" spans="1:2" ht="15" customHeight="1" x14ac:dyDescent="0.25">
      <c r="A8" s="40" t="s">
        <v>184</v>
      </c>
      <c r="B8" s="41">
        <v>20</v>
      </c>
    </row>
    <row r="9" spans="1:2" ht="15" customHeight="1" x14ac:dyDescent="0.25">
      <c r="A9" s="40" t="s">
        <v>7</v>
      </c>
      <c r="B9" s="60">
        <v>45693</v>
      </c>
    </row>
    <row r="10" spans="1:2" x14ac:dyDescent="0.25">
      <c r="A10" s="40" t="s">
        <v>8</v>
      </c>
      <c r="B10" s="41">
        <v>2025</v>
      </c>
    </row>
    <row r="11" spans="1:2" x14ac:dyDescent="0.25">
      <c r="A11" s="40" t="s">
        <v>9</v>
      </c>
      <c r="B11" s="60">
        <v>45658</v>
      </c>
    </row>
    <row r="12" spans="1:2" ht="15" customHeight="1" x14ac:dyDescent="0.25">
      <c r="A12" s="40" t="s">
        <v>10</v>
      </c>
      <c r="B12" s="41">
        <v>2026</v>
      </c>
    </row>
    <row r="13" spans="1:2" ht="15" customHeight="1" x14ac:dyDescent="0.25">
      <c r="A13" s="40" t="s">
        <v>11</v>
      </c>
      <c r="B13" s="41">
        <v>11</v>
      </c>
    </row>
    <row r="14" spans="1:2" ht="15" customHeight="1" x14ac:dyDescent="0.25">
      <c r="A14" s="40" t="s">
        <v>12</v>
      </c>
      <c r="B14" s="41">
        <v>11</v>
      </c>
    </row>
    <row r="15" spans="1:2" ht="15" customHeight="1" x14ac:dyDescent="0.25">
      <c r="A15" s="40" t="s">
        <v>13</v>
      </c>
      <c r="B15" s="60">
        <v>45703</v>
      </c>
    </row>
    <row r="16" spans="1:2" ht="15" customHeight="1" x14ac:dyDescent="0.25">
      <c r="A16" s="40" t="s">
        <v>14</v>
      </c>
      <c r="B16" s="41" t="s">
        <v>191</v>
      </c>
    </row>
    <row r="17" spans="1:18" x14ac:dyDescent="0.25">
      <c r="A17" s="40" t="s">
        <v>15</v>
      </c>
      <c r="B17" s="61">
        <v>0.03</v>
      </c>
    </row>
    <row r="18" spans="1:18" x14ac:dyDescent="0.25">
      <c r="A18" s="40" t="s">
        <v>16</v>
      </c>
      <c r="B18" s="41">
        <v>2066</v>
      </c>
    </row>
    <row r="19" spans="1:18" x14ac:dyDescent="0.25">
      <c r="A19" s="40" t="s">
        <v>17</v>
      </c>
      <c r="B19" s="61">
        <v>0.03</v>
      </c>
    </row>
    <row r="20" spans="1:18" x14ac:dyDescent="0.25">
      <c r="A20" s="40" t="s">
        <v>18</v>
      </c>
      <c r="B20" s="61">
        <v>3.5000000000000003E-2</v>
      </c>
    </row>
    <row r="21" spans="1:18" ht="15.75" thickBot="1" x14ac:dyDescent="0.3">
      <c r="A21" s="77" t="s">
        <v>19</v>
      </c>
      <c r="B21" s="62">
        <v>12</v>
      </c>
    </row>
    <row r="22" spans="1:18" x14ac:dyDescent="0.25">
      <c r="A22" s="1" t="s">
        <v>20</v>
      </c>
      <c r="B22" s="273" t="s">
        <v>192</v>
      </c>
    </row>
    <row r="23" spans="1:18" x14ac:dyDescent="0.25">
      <c r="A23" s="1" t="s">
        <v>21</v>
      </c>
      <c r="B23" s="273">
        <v>100</v>
      </c>
    </row>
    <row r="24" spans="1:18" x14ac:dyDescent="0.25">
      <c r="A24" s="1" t="s">
        <v>22</v>
      </c>
      <c r="B24" s="274">
        <v>636108</v>
      </c>
    </row>
    <row r="25" spans="1:18" x14ac:dyDescent="0.25">
      <c r="A25" s="1" t="s">
        <v>23</v>
      </c>
      <c r="B25" s="273" t="s">
        <v>193</v>
      </c>
    </row>
    <row r="26" spans="1:18" ht="15" customHeight="1" x14ac:dyDescent="0.25">
      <c r="A26" s="43"/>
      <c r="B26" s="276" t="str">
        <f>"©"&amp;Current_Fiscal_Year&amp;" Reserve Advisors LLC. All rights reserved. Any unauthorized copying, alteration, distribution, transmission, display or other use of this spreadsheet and its contents, "&amp;"data or formula are strictly prohibited."&amp;" This spreadsheet is licensed to you pursuant to (and is subject in all respects to the terms and conditions of) your agreement with Reserve Advisors LLC.  "&amp;"Reserve Advisors LLC does not make, and expressly disclaims, any representations or warranties (express or implied), including, "&amp;"without limitation, as to the accuracy or timeliness of information prepared by you or any third parties, whether linked to this spreadsheet or incorporated herein."&amp;" We encourage you to contact us at www.reserveadvisors.com with any questions."</f>
        <v>©2025 Reserve Advisors LLC. All rights reserved. Any unauthorized copying, alteration, distribution, transmission, display or other use of this spreadsheet and its contents, data or formula are strictly prohibited. This spreadsheet is licensed to you pursuant to (and is subject in all respects to the terms and conditions of) your agreement with Reserve Advisors LLC.  Reserve Advisors LLC does not make, and expressly disclaims, any representations or warranties (express or implied), including, without limitation, as to the accuracy or timeliness of information prepared by you or any third parties, whether linked to this spreadsheet or incorporated herein. We encourage you to contact us at www.reserveadvisors.com with any questions.</v>
      </c>
      <c r="C26" s="56"/>
      <c r="D26" s="56"/>
      <c r="E26" s="56"/>
      <c r="F26" s="56"/>
      <c r="G26" s="56"/>
      <c r="H26" s="56"/>
      <c r="I26" s="56"/>
      <c r="J26" s="56"/>
      <c r="K26" s="56"/>
      <c r="L26" s="56"/>
      <c r="M26" s="56"/>
      <c r="N26" s="56"/>
      <c r="O26" s="56"/>
      <c r="P26" s="56"/>
      <c r="Q26" s="56"/>
      <c r="R26" s="56"/>
    </row>
    <row r="27" spans="1:18" x14ac:dyDescent="0.25">
      <c r="A27" s="43"/>
      <c r="B27" s="276"/>
      <c r="C27" s="56"/>
      <c r="D27" s="56"/>
      <c r="E27" s="56"/>
      <c r="F27" s="56"/>
      <c r="G27" s="56"/>
      <c r="H27" s="56"/>
      <c r="I27" s="56"/>
      <c r="J27" s="56"/>
      <c r="K27" s="56"/>
      <c r="L27" s="56"/>
      <c r="M27" s="56"/>
      <c r="N27" s="56"/>
      <c r="O27" s="56"/>
      <c r="P27" s="56"/>
      <c r="Q27" s="56"/>
      <c r="R27" s="56"/>
    </row>
    <row r="28" spans="1:18" ht="15" customHeight="1" x14ac:dyDescent="0.25">
      <c r="A28" s="43"/>
      <c r="B28" s="276"/>
      <c r="C28" s="56"/>
      <c r="D28" s="56"/>
      <c r="E28" s="56"/>
      <c r="F28" s="56"/>
      <c r="G28" s="56"/>
      <c r="H28" s="56"/>
      <c r="I28" s="56"/>
      <c r="J28" s="56"/>
      <c r="K28" s="56"/>
      <c r="L28" s="56"/>
      <c r="M28" s="56"/>
      <c r="N28" s="56"/>
      <c r="O28" s="56"/>
      <c r="P28" s="56"/>
      <c r="Q28" s="56"/>
      <c r="R28" s="56"/>
    </row>
    <row r="29" spans="1:18" x14ac:dyDescent="0.25">
      <c r="B29" s="276"/>
      <c r="C29" s="56"/>
      <c r="D29" s="56"/>
      <c r="E29" s="56"/>
      <c r="F29" s="56"/>
      <c r="G29" s="56"/>
      <c r="H29" s="56"/>
      <c r="I29" s="56"/>
      <c r="J29" s="56"/>
      <c r="K29" s="56"/>
      <c r="L29" s="56"/>
      <c r="M29" s="56"/>
      <c r="N29" s="56"/>
      <c r="O29" s="56"/>
      <c r="P29" s="56"/>
      <c r="Q29" s="56"/>
      <c r="R29" s="56"/>
    </row>
    <row r="30" spans="1:18" ht="15" customHeight="1" x14ac:dyDescent="0.25">
      <c r="B30" s="56"/>
      <c r="C30" s="56"/>
      <c r="D30" s="56"/>
      <c r="E30" s="56"/>
      <c r="F30" s="56"/>
      <c r="G30" s="56"/>
      <c r="H30" s="56"/>
      <c r="I30" s="56"/>
      <c r="J30" s="56"/>
      <c r="K30" s="56"/>
    </row>
  </sheetData>
  <mergeCells count="1">
    <mergeCell ref="B26:B29"/>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25149-031B-423C-82B2-4CC4614DEB98}">
  <sheetPr codeName="Sheet4">
    <tabColor rgb="FF000000"/>
    <pageSetUpPr fitToPage="1"/>
  </sheetPr>
  <dimension ref="A6:C23"/>
  <sheetViews>
    <sheetView showGridLines="0" showRowColHeaders="0" zoomScale="110" zoomScaleNormal="110" workbookViewId="0"/>
  </sheetViews>
  <sheetFormatPr defaultRowHeight="15" x14ac:dyDescent="0.25"/>
  <cols>
    <col min="1" max="1" width="28" customWidth="1"/>
    <col min="2" max="2" width="33.5703125" customWidth="1"/>
    <col min="3" max="3" width="144.5703125" customWidth="1"/>
  </cols>
  <sheetData>
    <row r="6" spans="1:3" ht="15.75" thickBot="1" x14ac:dyDescent="0.3"/>
    <row r="7" spans="1:3" ht="15" customHeight="1" thickBot="1" x14ac:dyDescent="0.3">
      <c r="A7" s="277" t="s">
        <v>24</v>
      </c>
      <c r="B7" s="278"/>
      <c r="C7" s="279"/>
    </row>
    <row r="8" spans="1:3" x14ac:dyDescent="0.25">
      <c r="A8" s="45" t="s">
        <v>25</v>
      </c>
      <c r="B8" s="44" t="s">
        <v>26</v>
      </c>
      <c r="C8" s="46" t="s">
        <v>27</v>
      </c>
    </row>
    <row r="9" spans="1:3" x14ac:dyDescent="0.25">
      <c r="A9" s="47" t="s">
        <v>28</v>
      </c>
      <c r="B9" s="48" t="s">
        <v>29</v>
      </c>
      <c r="C9" s="51" t="s">
        <v>178</v>
      </c>
    </row>
    <row r="10" spans="1:3" ht="15" customHeight="1" x14ac:dyDescent="0.25">
      <c r="A10" s="47" t="s">
        <v>30</v>
      </c>
      <c r="B10" s="48" t="s">
        <v>31</v>
      </c>
      <c r="C10" s="51" t="s">
        <v>32</v>
      </c>
    </row>
    <row r="11" spans="1:3" x14ac:dyDescent="0.25">
      <c r="A11" s="47" t="s">
        <v>33</v>
      </c>
      <c r="B11" s="48" t="s">
        <v>34</v>
      </c>
      <c r="C11" s="51" t="s">
        <v>179</v>
      </c>
    </row>
    <row r="12" spans="1:3" ht="30" x14ac:dyDescent="0.25">
      <c r="A12" s="47" t="s">
        <v>35</v>
      </c>
      <c r="B12" s="48" t="s">
        <v>36</v>
      </c>
      <c r="C12" s="51" t="s">
        <v>180</v>
      </c>
    </row>
    <row r="13" spans="1:3" ht="30" x14ac:dyDescent="0.25">
      <c r="A13" s="47" t="s">
        <v>37</v>
      </c>
      <c r="B13" s="48" t="s">
        <v>38</v>
      </c>
      <c r="C13" s="51" t="s">
        <v>181</v>
      </c>
    </row>
    <row r="14" spans="1:3" x14ac:dyDescent="0.25">
      <c r="A14" s="47" t="s">
        <v>39</v>
      </c>
      <c r="B14" s="48" t="s">
        <v>40</v>
      </c>
      <c r="C14" s="51" t="s">
        <v>182</v>
      </c>
    </row>
    <row r="15" spans="1:3" ht="30.75" thickBot="1" x14ac:dyDescent="0.3">
      <c r="A15" s="49" t="s">
        <v>41</v>
      </c>
      <c r="B15" s="50" t="s">
        <v>42</v>
      </c>
      <c r="C15" s="52" t="s">
        <v>183</v>
      </c>
    </row>
    <row r="16" spans="1:3" ht="15.75" thickBot="1" x14ac:dyDescent="0.3"/>
    <row r="17" spans="1:3" ht="15.75" thickBot="1" x14ac:dyDescent="0.3">
      <c r="A17" s="280" t="s">
        <v>43</v>
      </c>
      <c r="B17" s="281"/>
      <c r="C17" s="282"/>
    </row>
    <row r="18" spans="1:3" x14ac:dyDescent="0.25">
      <c r="A18" s="53" t="s">
        <v>44</v>
      </c>
      <c r="B18" s="54" t="s">
        <v>26</v>
      </c>
      <c r="C18" s="55" t="s">
        <v>27</v>
      </c>
    </row>
    <row r="19" spans="1:3" x14ac:dyDescent="0.25">
      <c r="A19" s="47" t="s">
        <v>45</v>
      </c>
      <c r="B19" s="48" t="s">
        <v>46</v>
      </c>
      <c r="C19" s="51" t="s">
        <v>47</v>
      </c>
    </row>
    <row r="20" spans="1:3" ht="30" x14ac:dyDescent="0.25">
      <c r="A20" s="47" t="s">
        <v>48</v>
      </c>
      <c r="B20" s="48" t="s">
        <v>49</v>
      </c>
      <c r="C20" s="51" t="s">
        <v>50</v>
      </c>
    </row>
    <row r="21" spans="1:3" x14ac:dyDescent="0.25">
      <c r="A21" s="47" t="s">
        <v>51</v>
      </c>
      <c r="B21" s="48" t="s">
        <v>52</v>
      </c>
      <c r="C21" s="51" t="s">
        <v>53</v>
      </c>
    </row>
    <row r="22" spans="1:3" x14ac:dyDescent="0.25">
      <c r="A22" s="47" t="s">
        <v>54</v>
      </c>
      <c r="B22" s="48" t="s">
        <v>55</v>
      </c>
      <c r="C22" s="51" t="s">
        <v>56</v>
      </c>
    </row>
    <row r="23" spans="1:3" ht="15.75" thickBot="1" x14ac:dyDescent="0.3">
      <c r="A23" s="49" t="s">
        <v>57</v>
      </c>
      <c r="B23" s="50" t="s">
        <v>58</v>
      </c>
      <c r="C23" s="52" t="s">
        <v>59</v>
      </c>
    </row>
  </sheetData>
  <mergeCells count="2">
    <mergeCell ref="A7:C7"/>
    <mergeCell ref="A17:C17"/>
  </mergeCells>
  <pageMargins left="0.7" right="0.7" top="0.75" bottom="0.75" header="0.3" footer="0.3"/>
  <pageSetup scale="59" fitToHeight="0" orientation="portrait" horizontalDpi="1200" verticalDpi="1200" r:id="rId1"/>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D9BD4-55A1-4EA2-91D8-65E2D34948DE}">
  <sheetPr>
    <tabColor rgb="FF538DD5"/>
    <pageSetUpPr fitToPage="1"/>
  </sheetPr>
  <dimension ref="A1:EX2030"/>
  <sheetViews>
    <sheetView tabSelected="1" view="pageBreakPreview" zoomScale="60" zoomScaleNormal="70" workbookViewId="0">
      <pane xSplit="14" ySplit="10" topLeftCell="O20" activePane="bottomRight" state="frozen"/>
      <selection pane="topRight" activeCell="O1" sqref="O1"/>
      <selection pane="bottomLeft" activeCell="A11" sqref="A11"/>
      <selection pane="bottomRight" activeCell="E9" sqref="E9"/>
    </sheetView>
  </sheetViews>
  <sheetFormatPr defaultRowHeight="15" outlineLevelCol="2" x14ac:dyDescent="0.25"/>
  <cols>
    <col min="1" max="1" width="2.5703125" hidden="1" customWidth="1"/>
    <col min="2" max="2" width="13.28515625" style="70" customWidth="1" outlineLevel="1"/>
    <col min="3" max="3" width="13.42578125" customWidth="1" outlineLevel="1"/>
    <col min="4" max="4" width="9.140625" hidden="1" customWidth="1" outlineLevel="1"/>
    <col min="5" max="5" width="10.7109375" customWidth="1" outlineLevel="1"/>
    <col min="6" max="6" width="9.85546875" customWidth="1" outlineLevel="1"/>
    <col min="7" max="7" width="11" customWidth="1" outlineLevel="1"/>
    <col min="8" max="8" width="0.7109375" customWidth="1" outlineLevel="1"/>
    <col min="9" max="9" width="3" customWidth="1"/>
    <col min="10" max="10" width="11.42578125" style="63" customWidth="1" outlineLevel="1"/>
    <col min="11" max="11" width="12.140625" style="73" customWidth="1" outlineLevel="1"/>
    <col min="12" max="12" width="11.85546875" style="73" customWidth="1" outlineLevel="1"/>
    <col min="13" max="13" width="14.42578125" customWidth="1" outlineLevel="1"/>
    <col min="14" max="14" width="100.5703125" customWidth="1"/>
    <col min="15" max="15" width="11.85546875" customWidth="1" outlineLevel="2"/>
    <col min="16" max="16" width="9.140625" customWidth="1" outlineLevel="2"/>
    <col min="17" max="17" width="12.5703125" customWidth="1" outlineLevel="2"/>
    <col min="18" max="18" width="14.28515625" style="66" customWidth="1" outlineLevel="1"/>
    <col min="19" max="19" width="13.7109375" style="70" hidden="1" customWidth="1" outlineLevel="1"/>
    <col min="20" max="20" width="14.28515625" style="73" customWidth="1" outlineLevel="1"/>
    <col min="21" max="21" width="15.140625" style="73" customWidth="1" outlineLevel="1"/>
    <col min="22" max="22" width="17.5703125" style="73" hidden="1" customWidth="1" outlineLevel="1"/>
    <col min="23" max="23" width="13.85546875" customWidth="1" outlineLevel="1"/>
    <col min="24" max="54" width="12.5703125" customWidth="1"/>
  </cols>
  <sheetData>
    <row r="1" spans="1:72" ht="30" customHeight="1" x14ac:dyDescent="0.35">
      <c r="A1" s="97"/>
      <c r="B1" s="98"/>
      <c r="C1" s="97"/>
      <c r="D1" s="97"/>
      <c r="E1" s="97"/>
      <c r="F1" s="97"/>
      <c r="G1" s="97"/>
      <c r="H1" s="97"/>
      <c r="I1" s="97"/>
      <c r="J1" s="101"/>
      <c r="K1" s="102"/>
      <c r="L1" s="102"/>
      <c r="M1" s="97"/>
      <c r="N1" s="103"/>
      <c r="O1" s="97"/>
      <c r="P1" s="97"/>
      <c r="Q1" s="97"/>
      <c r="R1" s="104"/>
      <c r="S1" s="98"/>
      <c r="T1" s="102"/>
      <c r="U1" s="102"/>
      <c r="V1" s="102"/>
      <c r="W1" s="97"/>
      <c r="X1" s="105"/>
      <c r="Y1" s="106" t="s">
        <v>61</v>
      </c>
      <c r="Z1" s="107"/>
      <c r="AA1" s="97"/>
      <c r="AB1" s="97"/>
      <c r="AC1" s="97"/>
      <c r="AD1" s="97"/>
      <c r="AE1" s="97"/>
      <c r="AF1" s="97"/>
      <c r="AG1" s="97"/>
      <c r="AH1" s="97"/>
      <c r="AI1" s="97"/>
      <c r="AJ1" s="97" t="str">
        <f ca="1">IF(COUNTIFS($J$10:J42,"&lt;&gt;0",$W$10:W42,"=0"),BB9 &amp; "+","")</f>
        <v/>
      </c>
      <c r="AK1" s="97"/>
      <c r="AL1" s="97"/>
      <c r="AM1" s="97"/>
      <c r="AN1" s="97"/>
      <c r="AO1" s="97"/>
      <c r="AP1" s="97"/>
      <c r="AQ1" s="97"/>
      <c r="AR1" s="97"/>
      <c r="AS1" s="97"/>
      <c r="AT1" s="97"/>
      <c r="AU1" s="97"/>
      <c r="AV1" s="97"/>
      <c r="AW1" s="97"/>
      <c r="AX1" s="97"/>
      <c r="AY1" s="97"/>
      <c r="AZ1" s="97"/>
      <c r="BA1" s="97"/>
      <c r="BB1" s="97"/>
    </row>
    <row r="2" spans="1:72" ht="26.1" customHeight="1" x14ac:dyDescent="0.4">
      <c r="A2" s="97"/>
      <c r="B2" s="99"/>
      <c r="C2" s="100"/>
      <c r="D2" s="100"/>
      <c r="E2" s="100"/>
      <c r="F2" s="100"/>
      <c r="G2" s="100"/>
      <c r="H2" s="100"/>
      <c r="I2" s="100"/>
      <c r="J2" s="108"/>
      <c r="K2" s="109"/>
      <c r="L2" s="109"/>
      <c r="M2" s="110"/>
      <c r="N2" s="111" t="s">
        <v>60</v>
      </c>
      <c r="O2" s="112"/>
      <c r="P2" s="113"/>
      <c r="Q2" s="107"/>
      <c r="R2" s="114"/>
      <c r="S2" s="115"/>
      <c r="T2" s="116"/>
      <c r="U2" s="116"/>
      <c r="V2" s="116"/>
      <c r="W2" s="107"/>
      <c r="X2" s="117" t="s">
        <v>62</v>
      </c>
      <c r="Y2" s="118">
        <f>IF(Inflation=secondaryInflation,Inflation,secondaryInflation)</f>
        <v>0.03</v>
      </c>
      <c r="Z2" s="283" t="str">
        <f>IF(Inflation=secondaryInflation,"is the estimated Inflation Rate for estimating Future Replacement Costs.","is the estimated Inflation Rate through "&amp;secondaryInflationYear&amp;".")</f>
        <v>is the estimated Inflation Rate for estimating Future Replacement Costs.</v>
      </c>
      <c r="AA2" s="283"/>
      <c r="AB2" s="283"/>
      <c r="AC2" s="283"/>
      <c r="AD2" s="283"/>
      <c r="AE2" s="283"/>
      <c r="AF2" s="283"/>
      <c r="AG2" s="283"/>
      <c r="AH2" s="283"/>
      <c r="AI2" s="283"/>
      <c r="AJ2" s="283"/>
      <c r="AK2" s="283"/>
      <c r="AL2" s="283"/>
      <c r="AM2" s="283"/>
      <c r="AN2" s="107"/>
      <c r="AO2" s="107"/>
      <c r="AP2" s="110"/>
      <c r="AQ2" s="110"/>
      <c r="AR2" s="110"/>
      <c r="AS2" s="110"/>
      <c r="AT2" s="110"/>
      <c r="AU2" s="110"/>
      <c r="AV2" s="110"/>
      <c r="AW2" s="119"/>
      <c r="AX2" s="110"/>
      <c r="AY2" s="110"/>
      <c r="AZ2" s="110"/>
      <c r="BA2" s="110"/>
      <c r="BB2" s="110"/>
    </row>
    <row r="3" spans="1:72" ht="18.95" customHeight="1" x14ac:dyDescent="0.3">
      <c r="A3" s="97"/>
      <c r="B3" s="99"/>
      <c r="C3" s="100"/>
      <c r="D3" s="100"/>
      <c r="E3" s="100"/>
      <c r="F3" s="100"/>
      <c r="G3" s="100"/>
      <c r="H3" s="100"/>
      <c r="I3" s="100"/>
      <c r="J3" s="120"/>
      <c r="K3" s="121"/>
      <c r="L3" s="122"/>
      <c r="M3" s="123"/>
      <c r="N3" s="124"/>
      <c r="O3" s="125"/>
      <c r="P3" s="126"/>
      <c r="Q3" s="127"/>
      <c r="R3" s="128"/>
      <c r="S3" s="129"/>
      <c r="T3" s="130"/>
      <c r="U3" s="130"/>
      <c r="V3" s="130"/>
      <c r="W3" s="110"/>
      <c r="X3" s="117" t="s">
        <v>63</v>
      </c>
      <c r="Y3" s="117" t="s">
        <v>199</v>
      </c>
      <c r="Z3" s="131" t="s">
        <v>200</v>
      </c>
      <c r="AA3" s="105"/>
      <c r="AB3" s="100"/>
      <c r="AC3" s="132"/>
      <c r="AD3" s="132"/>
      <c r="AE3" s="100"/>
      <c r="AF3" s="100"/>
      <c r="AG3" s="100"/>
      <c r="AH3" s="100"/>
      <c r="AI3" s="100"/>
      <c r="AJ3" s="100"/>
      <c r="AK3" s="100"/>
      <c r="AL3" s="100"/>
      <c r="AM3" s="100"/>
      <c r="AN3" s="100"/>
      <c r="AO3" s="100"/>
      <c r="AP3" s="100"/>
      <c r="AQ3" s="100"/>
      <c r="AR3" s="100"/>
      <c r="AS3" s="133"/>
      <c r="AT3" s="134"/>
      <c r="AU3" s="134"/>
      <c r="AV3" s="134"/>
      <c r="AW3" s="134"/>
      <c r="AX3" s="134"/>
      <c r="AY3" s="134"/>
      <c r="AZ3" s="134"/>
      <c r="BA3" s="134"/>
      <c r="BB3" s="134"/>
    </row>
    <row r="4" spans="1:72" ht="21.95" customHeight="1" x14ac:dyDescent="0.25">
      <c r="A4" s="97"/>
      <c r="B4" s="99"/>
      <c r="C4" s="100"/>
      <c r="D4" s="100"/>
      <c r="E4" s="100"/>
      <c r="F4" s="100"/>
      <c r="G4" s="100"/>
      <c r="H4" s="100"/>
      <c r="I4" s="100"/>
      <c r="J4" s="135"/>
      <c r="K4" s="121"/>
      <c r="L4" s="122"/>
      <c r="M4" s="136"/>
      <c r="N4" s="137" t="s">
        <v>194</v>
      </c>
      <c r="O4" s="138"/>
      <c r="P4" s="138"/>
      <c r="Q4" s="139"/>
      <c r="R4" s="140"/>
      <c r="S4" s="141"/>
      <c r="T4" s="142"/>
      <c r="U4" s="142"/>
      <c r="V4" s="142"/>
      <c r="W4" s="110"/>
      <c r="X4" s="143" t="str">
        <f ca="1">IF(Y4&lt;&gt;"","3)","")</f>
        <v/>
      </c>
      <c r="Y4" s="117" t="str">
        <f ca="1">IF(COUNTIFS($J$10:J42,"&lt;&gt;0",$W$10:W42,"=0"),BB9+1 &amp; "+","")</f>
        <v/>
      </c>
      <c r="Z4" s="284" t="str">
        <f ca="1">IF($Y$4&lt;&gt;"","indicates a component which is considered long-lived","")</f>
        <v/>
      </c>
      <c r="AA4" s="284"/>
      <c r="AB4" s="284"/>
      <c r="AC4" s="284"/>
      <c r="AD4" s="284"/>
      <c r="AE4" s="284"/>
      <c r="AF4" s="271"/>
      <c r="AG4" s="271"/>
      <c r="AH4" s="100"/>
      <c r="AI4" s="100"/>
      <c r="AJ4" s="100"/>
      <c r="AK4" s="100"/>
      <c r="AL4" s="100"/>
      <c r="AM4" s="100"/>
      <c r="AN4" s="100"/>
      <c r="AO4" s="100"/>
      <c r="AP4" s="100"/>
      <c r="AQ4" s="100"/>
      <c r="AR4" s="100"/>
      <c r="AS4" s="144"/>
      <c r="AT4" s="144"/>
      <c r="AU4" s="144"/>
      <c r="AV4" s="144"/>
      <c r="AW4" s="144"/>
      <c r="AX4" s="144"/>
      <c r="AY4" s="144"/>
      <c r="AZ4" s="144"/>
      <c r="BA4" s="144"/>
      <c r="BB4" s="144"/>
    </row>
    <row r="5" spans="1:72" ht="21.95" customHeight="1" x14ac:dyDescent="0.25">
      <c r="A5" s="97"/>
      <c r="B5" s="99"/>
      <c r="C5" s="100"/>
      <c r="D5" s="100"/>
      <c r="E5" s="100"/>
      <c r="F5" s="100"/>
      <c r="G5" s="100"/>
      <c r="H5" s="100"/>
      <c r="I5" s="100"/>
      <c r="J5" s="120"/>
      <c r="K5" s="121"/>
      <c r="L5" s="122"/>
      <c r="M5" s="123"/>
      <c r="N5" s="137" t="s">
        <v>195</v>
      </c>
      <c r="O5" s="145"/>
      <c r="P5" s="146"/>
      <c r="Q5" s="136"/>
      <c r="R5" s="147"/>
      <c r="S5" s="99"/>
      <c r="T5" s="148"/>
      <c r="U5" s="148"/>
      <c r="V5" s="148"/>
      <c r="W5" s="110"/>
      <c r="X5" s="117" t="str">
        <f ca="1">IF(X4="","","4)")</f>
        <v/>
      </c>
      <c r="Y5" s="149" t="str">
        <f>IF($L5="","Formula",IF(secondaryInflationYear- Current_Fiscal_Year &gt;=Y$8,ROUND($L5* $R5*$S5*((1 + Y$7)^Y$8),1),ROUND($L5* $R5*$S5*(((1+secondaryInflation)^(secondaryInflationYear-Current_Fiscal_Year)) * ((1+Y$7)^(Y$8-(secondaryInflationYear - Current_Fiscal_Year)))),1)))</f>
        <v>Formula</v>
      </c>
      <c r="Z5" s="150" t="s">
        <v>176</v>
      </c>
      <c r="AA5" s="105"/>
      <c r="AB5" s="105"/>
      <c r="AC5" s="105"/>
      <c r="AD5" s="100"/>
      <c r="AE5" s="100"/>
      <c r="AF5" s="100"/>
      <c r="AG5" s="100"/>
      <c r="AH5" s="100"/>
      <c r="AI5" s="100"/>
      <c r="AJ5" s="100"/>
      <c r="AK5" s="100"/>
      <c r="AL5" s="100"/>
      <c r="AM5" s="100"/>
      <c r="AN5" s="100"/>
      <c r="AO5" s="100"/>
      <c r="AP5" s="100"/>
      <c r="AQ5" s="100"/>
      <c r="AR5" s="100"/>
      <c r="AS5" s="151"/>
      <c r="AT5" s="144"/>
      <c r="AU5" s="144"/>
      <c r="AV5" s="144"/>
      <c r="AW5" s="144"/>
      <c r="AX5" s="144"/>
      <c r="AY5" s="144"/>
      <c r="AZ5" s="144"/>
      <c r="BA5" s="144"/>
      <c r="BB5" s="144"/>
    </row>
    <row r="6" spans="1:72" ht="18.95" customHeight="1" x14ac:dyDescent="0.25">
      <c r="A6" s="97"/>
      <c r="B6" s="99"/>
      <c r="C6" s="100"/>
      <c r="D6" s="100"/>
      <c r="E6" s="100"/>
      <c r="F6" s="100"/>
      <c r="G6" s="100"/>
      <c r="H6" s="100"/>
      <c r="I6" s="100"/>
      <c r="J6" s="120"/>
      <c r="K6" s="121"/>
      <c r="L6" s="122"/>
      <c r="M6" s="123"/>
      <c r="N6" s="152" t="s">
        <v>196</v>
      </c>
      <c r="O6" s="153"/>
      <c r="P6" s="154"/>
      <c r="Q6" s="136"/>
      <c r="R6" s="155"/>
      <c r="S6" s="156"/>
      <c r="T6" s="109"/>
      <c r="U6" s="109"/>
      <c r="V6" s="109"/>
      <c r="W6" s="136"/>
      <c r="X6" s="157"/>
      <c r="Y6" s="97"/>
      <c r="Z6" s="97"/>
      <c r="AA6" s="100"/>
      <c r="AB6" s="100"/>
      <c r="AC6" s="100"/>
      <c r="AD6" s="100"/>
      <c r="AE6" s="100"/>
      <c r="AF6" s="100"/>
      <c r="AG6" s="100"/>
      <c r="AH6" s="100"/>
      <c r="AI6" s="100"/>
      <c r="AJ6" s="100"/>
      <c r="AK6" s="100"/>
      <c r="AL6" s="100"/>
      <c r="AM6" s="100"/>
      <c r="AN6" s="100"/>
      <c r="AO6" s="100"/>
      <c r="AP6" s="100"/>
      <c r="AQ6" s="100"/>
      <c r="AR6" s="100"/>
      <c r="AS6" s="144"/>
      <c r="AT6" s="144"/>
      <c r="AU6" s="144"/>
      <c r="AV6" s="144"/>
      <c r="AW6" s="144"/>
      <c r="AX6" s="144"/>
      <c r="AY6" s="144"/>
      <c r="AZ6" s="144"/>
      <c r="BA6" s="144"/>
      <c r="BB6" s="144"/>
    </row>
    <row r="7" spans="1:72" ht="18.95" customHeight="1" x14ac:dyDescent="0.25">
      <c r="A7" s="183"/>
      <c r="B7" s="87"/>
      <c r="C7" s="88"/>
      <c r="D7" s="88"/>
      <c r="E7" s="88"/>
      <c r="F7" s="88"/>
      <c r="G7" s="88"/>
      <c r="H7" s="158"/>
      <c r="I7" s="158"/>
      <c r="J7" s="159"/>
      <c r="K7" s="160"/>
      <c r="L7" s="160"/>
      <c r="M7" s="161" t="s">
        <v>65</v>
      </c>
      <c r="N7" s="162"/>
      <c r="O7" s="163" t="s">
        <v>66</v>
      </c>
      <c r="P7" s="285" t="s">
        <v>67</v>
      </c>
      <c r="Q7" s="285"/>
      <c r="R7" s="286" t="s">
        <v>68</v>
      </c>
      <c r="S7" s="286"/>
      <c r="T7" s="286"/>
      <c r="U7" s="286"/>
      <c r="V7" s="164"/>
      <c r="W7" s="165" t="s">
        <v>69</v>
      </c>
      <c r="X7" s="166">
        <f t="shared" ref="X7:BB7" si="0">IF(secondaryInflationYear&gt;=X$9,secondaryInflation,Inflation)</f>
        <v>0.03</v>
      </c>
      <c r="Y7" s="167">
        <f t="shared" si="0"/>
        <v>0.03</v>
      </c>
      <c r="Z7" s="167">
        <f t="shared" si="0"/>
        <v>0.03</v>
      </c>
      <c r="AA7" s="167">
        <f t="shared" si="0"/>
        <v>0.03</v>
      </c>
      <c r="AB7" s="167">
        <f t="shared" si="0"/>
        <v>0.03</v>
      </c>
      <c r="AC7" s="167">
        <f t="shared" si="0"/>
        <v>0.03</v>
      </c>
      <c r="AD7" s="167">
        <f t="shared" si="0"/>
        <v>0.03</v>
      </c>
      <c r="AE7" s="167">
        <f t="shared" si="0"/>
        <v>0.03</v>
      </c>
      <c r="AF7" s="167">
        <f t="shared" si="0"/>
        <v>0.03</v>
      </c>
      <c r="AG7" s="167">
        <f t="shared" si="0"/>
        <v>0.03</v>
      </c>
      <c r="AH7" s="167">
        <f t="shared" si="0"/>
        <v>0.03</v>
      </c>
      <c r="AI7" s="167">
        <f t="shared" si="0"/>
        <v>0.03</v>
      </c>
      <c r="AJ7" s="167">
        <f t="shared" si="0"/>
        <v>0.03</v>
      </c>
      <c r="AK7" s="167">
        <f t="shared" si="0"/>
        <v>0.03</v>
      </c>
      <c r="AL7" s="167">
        <f t="shared" si="0"/>
        <v>0.03</v>
      </c>
      <c r="AM7" s="167">
        <f t="shared" si="0"/>
        <v>0.03</v>
      </c>
      <c r="AN7" s="167">
        <f t="shared" si="0"/>
        <v>0.03</v>
      </c>
      <c r="AO7" s="167">
        <f t="shared" si="0"/>
        <v>0.03</v>
      </c>
      <c r="AP7" s="167">
        <f t="shared" si="0"/>
        <v>0.03</v>
      </c>
      <c r="AQ7" s="167">
        <f t="shared" si="0"/>
        <v>0.03</v>
      </c>
      <c r="AR7" s="167">
        <f t="shared" si="0"/>
        <v>0.03</v>
      </c>
      <c r="AS7" s="167">
        <f t="shared" si="0"/>
        <v>0.03</v>
      </c>
      <c r="AT7" s="167">
        <f t="shared" si="0"/>
        <v>0.03</v>
      </c>
      <c r="AU7" s="167">
        <f t="shared" si="0"/>
        <v>0.03</v>
      </c>
      <c r="AV7" s="167">
        <f t="shared" si="0"/>
        <v>0.03</v>
      </c>
      <c r="AW7" s="167">
        <f t="shared" si="0"/>
        <v>0.03</v>
      </c>
      <c r="AX7" s="167">
        <f t="shared" si="0"/>
        <v>0.03</v>
      </c>
      <c r="AY7" s="167">
        <f t="shared" si="0"/>
        <v>0.03</v>
      </c>
      <c r="AZ7" s="167">
        <f t="shared" si="0"/>
        <v>0.03</v>
      </c>
      <c r="BA7" s="167">
        <f t="shared" si="0"/>
        <v>0.03</v>
      </c>
      <c r="BB7" s="167">
        <f t="shared" si="0"/>
        <v>0.03</v>
      </c>
      <c r="BC7" s="6"/>
      <c r="BD7" s="6"/>
      <c r="BE7" s="6"/>
      <c r="BF7" s="6"/>
      <c r="BG7" s="6"/>
      <c r="BH7" s="6"/>
      <c r="BI7" s="6"/>
      <c r="BJ7" s="6"/>
      <c r="BK7" s="6"/>
      <c r="BL7" s="6"/>
      <c r="BM7" s="6"/>
      <c r="BN7" s="6"/>
      <c r="BO7" s="6"/>
      <c r="BP7" s="6"/>
      <c r="BQ7" s="6"/>
      <c r="BR7" s="6"/>
      <c r="BS7" s="6"/>
      <c r="BT7" s="6"/>
    </row>
    <row r="8" spans="1:72" ht="18.95" customHeight="1" x14ac:dyDescent="0.25">
      <c r="A8" s="183"/>
      <c r="B8" s="89" t="s">
        <v>70</v>
      </c>
      <c r="C8" s="90" t="s">
        <v>71</v>
      </c>
      <c r="D8" s="91" t="s">
        <v>72</v>
      </c>
      <c r="E8" s="91" t="s">
        <v>73</v>
      </c>
      <c r="F8" s="92" t="s">
        <v>74</v>
      </c>
      <c r="G8" s="93" t="s">
        <v>75</v>
      </c>
      <c r="H8" s="168" t="s">
        <v>76</v>
      </c>
      <c r="I8" s="169" t="s">
        <v>65</v>
      </c>
      <c r="J8" s="159" t="s">
        <v>77</v>
      </c>
      <c r="K8" s="170" t="s">
        <v>78</v>
      </c>
      <c r="L8" s="160" t="s">
        <v>79</v>
      </c>
      <c r="M8" s="163"/>
      <c r="N8" s="163"/>
      <c r="O8" s="163" t="s">
        <v>80</v>
      </c>
      <c r="P8" s="287" t="s">
        <v>81</v>
      </c>
      <c r="Q8" s="287"/>
      <c r="R8" s="171" t="s">
        <v>82</v>
      </c>
      <c r="S8" s="172" t="s">
        <v>69</v>
      </c>
      <c r="T8" s="160" t="s">
        <v>79</v>
      </c>
      <c r="U8" s="160" t="s">
        <v>78</v>
      </c>
      <c r="V8" s="160" t="s">
        <v>83</v>
      </c>
      <c r="W8" s="163" t="s">
        <v>84</v>
      </c>
      <c r="X8" s="173">
        <v>0</v>
      </c>
      <c r="Y8" s="174">
        <v>1</v>
      </c>
      <c r="Z8" s="174">
        <v>2</v>
      </c>
      <c r="AA8" s="174">
        <v>3</v>
      </c>
      <c r="AB8" s="174">
        <v>4</v>
      </c>
      <c r="AC8" s="174">
        <v>5</v>
      </c>
      <c r="AD8" s="174">
        <v>6</v>
      </c>
      <c r="AE8" s="174">
        <v>7</v>
      </c>
      <c r="AF8" s="174">
        <v>8</v>
      </c>
      <c r="AG8" s="174">
        <v>9</v>
      </c>
      <c r="AH8" s="174">
        <v>10</v>
      </c>
      <c r="AI8" s="174">
        <v>11</v>
      </c>
      <c r="AJ8" s="174">
        <v>12</v>
      </c>
      <c r="AK8" s="174">
        <v>13</v>
      </c>
      <c r="AL8" s="174">
        <v>14</v>
      </c>
      <c r="AM8" s="174">
        <v>15</v>
      </c>
      <c r="AN8" s="174">
        <v>16</v>
      </c>
      <c r="AO8" s="174">
        <v>17</v>
      </c>
      <c r="AP8" s="174">
        <v>18</v>
      </c>
      <c r="AQ8" s="174">
        <v>19</v>
      </c>
      <c r="AR8" s="174">
        <v>20</v>
      </c>
      <c r="AS8" s="175">
        <v>21</v>
      </c>
      <c r="AT8" s="175">
        <v>22</v>
      </c>
      <c r="AU8" s="175">
        <v>23</v>
      </c>
      <c r="AV8" s="175">
        <v>24</v>
      </c>
      <c r="AW8" s="175">
        <v>25</v>
      </c>
      <c r="AX8" s="175">
        <v>26</v>
      </c>
      <c r="AY8" s="175">
        <v>27</v>
      </c>
      <c r="AZ8" s="175">
        <v>28</v>
      </c>
      <c r="BA8" s="175">
        <v>29</v>
      </c>
      <c r="BB8" s="175">
        <v>30</v>
      </c>
      <c r="BC8" s="4"/>
      <c r="BD8" s="4"/>
      <c r="BE8" s="4"/>
      <c r="BF8" s="4"/>
      <c r="BG8" s="4"/>
      <c r="BH8" s="4"/>
      <c r="BI8" s="4"/>
      <c r="BJ8" s="4"/>
      <c r="BK8" s="4"/>
      <c r="BL8" s="4"/>
      <c r="BM8" s="4"/>
      <c r="BN8" s="4"/>
      <c r="BO8" s="4"/>
      <c r="BP8" s="4"/>
      <c r="BQ8" s="4"/>
      <c r="BR8" s="4"/>
      <c r="BS8" s="4"/>
      <c r="BT8" s="4"/>
    </row>
    <row r="9" spans="1:72" ht="31.5" customHeight="1" x14ac:dyDescent="0.25">
      <c r="A9" s="183"/>
      <c r="B9" s="89" t="s">
        <v>85</v>
      </c>
      <c r="C9" s="319" t="s">
        <v>86</v>
      </c>
      <c r="D9" s="91" t="s">
        <v>87</v>
      </c>
      <c r="E9" s="91" t="s">
        <v>79</v>
      </c>
      <c r="F9" s="92" t="s">
        <v>88</v>
      </c>
      <c r="G9" s="93" t="s">
        <v>89</v>
      </c>
      <c r="H9" s="176" t="s">
        <v>90</v>
      </c>
      <c r="I9" s="169" t="s">
        <v>65</v>
      </c>
      <c r="J9" s="159" t="s">
        <v>91</v>
      </c>
      <c r="K9" s="160" t="s">
        <v>85</v>
      </c>
      <c r="L9" s="160" t="s">
        <v>85</v>
      </c>
      <c r="M9" s="163" t="s">
        <v>92</v>
      </c>
      <c r="N9" s="163" t="s">
        <v>93</v>
      </c>
      <c r="O9" s="163" t="s">
        <v>94</v>
      </c>
      <c r="P9" s="162" t="s">
        <v>75</v>
      </c>
      <c r="Q9" s="162" t="s">
        <v>95</v>
      </c>
      <c r="R9" s="171" t="str">
        <f>"(" &amp; Current_Fiscal_Year &amp; ")"</f>
        <v>(2025)</v>
      </c>
      <c r="S9" s="172" t="s">
        <v>96</v>
      </c>
      <c r="T9" s="171" t="str">
        <f>"(" &amp; Current_Fiscal_Year &amp; ")"</f>
        <v>(2025)</v>
      </c>
      <c r="U9" s="171" t="str">
        <f>"(" &amp; Current_Fiscal_Year &amp; ")"</f>
        <v>(2025)</v>
      </c>
      <c r="V9" s="160" t="s">
        <v>97</v>
      </c>
      <c r="W9" s="163" t="s">
        <v>98</v>
      </c>
      <c r="X9" s="177">
        <f>'Property Info'!B10</f>
        <v>2025</v>
      </c>
      <c r="Y9" s="174">
        <f>X9+1</f>
        <v>2026</v>
      </c>
      <c r="Z9" s="174">
        <f t="shared" ref="Z9:BB9" si="1">Y9+1</f>
        <v>2027</v>
      </c>
      <c r="AA9" s="174">
        <f t="shared" si="1"/>
        <v>2028</v>
      </c>
      <c r="AB9" s="174">
        <f t="shared" si="1"/>
        <v>2029</v>
      </c>
      <c r="AC9" s="174">
        <f t="shared" si="1"/>
        <v>2030</v>
      </c>
      <c r="AD9" s="174">
        <f t="shared" si="1"/>
        <v>2031</v>
      </c>
      <c r="AE9" s="174">
        <f t="shared" si="1"/>
        <v>2032</v>
      </c>
      <c r="AF9" s="174">
        <f t="shared" si="1"/>
        <v>2033</v>
      </c>
      <c r="AG9" s="174">
        <f t="shared" si="1"/>
        <v>2034</v>
      </c>
      <c r="AH9" s="174">
        <f t="shared" si="1"/>
        <v>2035</v>
      </c>
      <c r="AI9" s="174">
        <f t="shared" si="1"/>
        <v>2036</v>
      </c>
      <c r="AJ9" s="174">
        <f t="shared" si="1"/>
        <v>2037</v>
      </c>
      <c r="AK9" s="174">
        <f t="shared" si="1"/>
        <v>2038</v>
      </c>
      <c r="AL9" s="174">
        <f t="shared" si="1"/>
        <v>2039</v>
      </c>
      <c r="AM9" s="174">
        <f t="shared" si="1"/>
        <v>2040</v>
      </c>
      <c r="AN9" s="174">
        <f t="shared" si="1"/>
        <v>2041</v>
      </c>
      <c r="AO9" s="174">
        <f t="shared" si="1"/>
        <v>2042</v>
      </c>
      <c r="AP9" s="174">
        <f t="shared" si="1"/>
        <v>2043</v>
      </c>
      <c r="AQ9" s="174">
        <f t="shared" si="1"/>
        <v>2044</v>
      </c>
      <c r="AR9" s="174">
        <f t="shared" si="1"/>
        <v>2045</v>
      </c>
      <c r="AS9" s="174">
        <f t="shared" si="1"/>
        <v>2046</v>
      </c>
      <c r="AT9" s="174">
        <f t="shared" si="1"/>
        <v>2047</v>
      </c>
      <c r="AU9" s="174">
        <f t="shared" si="1"/>
        <v>2048</v>
      </c>
      <c r="AV9" s="174">
        <f t="shared" si="1"/>
        <v>2049</v>
      </c>
      <c r="AW9" s="174">
        <f t="shared" si="1"/>
        <v>2050</v>
      </c>
      <c r="AX9" s="174">
        <f t="shared" si="1"/>
        <v>2051</v>
      </c>
      <c r="AY9" s="174">
        <f t="shared" si="1"/>
        <v>2052</v>
      </c>
      <c r="AZ9" s="174">
        <f t="shared" si="1"/>
        <v>2053</v>
      </c>
      <c r="BA9" s="174">
        <f t="shared" si="1"/>
        <v>2054</v>
      </c>
      <c r="BB9" s="174">
        <f t="shared" si="1"/>
        <v>2055</v>
      </c>
      <c r="BC9" s="4"/>
      <c r="BD9" s="4"/>
      <c r="BE9" s="4"/>
      <c r="BF9" s="4"/>
      <c r="BG9" s="4"/>
      <c r="BH9" s="4"/>
      <c r="BI9" s="4"/>
      <c r="BJ9" s="4"/>
      <c r="BK9" s="4"/>
      <c r="BL9" s="4"/>
      <c r="BM9" s="4"/>
      <c r="BN9" s="4"/>
      <c r="BO9" s="4"/>
      <c r="BP9" s="4"/>
      <c r="BQ9" s="4"/>
      <c r="BR9" s="4"/>
      <c r="BS9" s="4"/>
      <c r="BT9" s="4"/>
    </row>
    <row r="10" spans="1:72" ht="9.9499999999999993" customHeight="1" x14ac:dyDescent="0.25">
      <c r="A10" s="184"/>
      <c r="B10" s="94" t="s">
        <v>99</v>
      </c>
      <c r="C10" s="94" t="s">
        <v>99</v>
      </c>
      <c r="D10" s="94" t="s">
        <v>99</v>
      </c>
      <c r="E10" s="94" t="s">
        <v>99</v>
      </c>
      <c r="F10" s="94" t="s">
        <v>99</v>
      </c>
      <c r="G10" s="94" t="s">
        <v>99</v>
      </c>
      <c r="H10" s="178"/>
      <c r="I10" s="178"/>
      <c r="J10" s="179" t="s">
        <v>99</v>
      </c>
      <c r="K10" s="180"/>
      <c r="L10" s="180" t="s">
        <v>99</v>
      </c>
      <c r="M10" s="178" t="s">
        <v>99</v>
      </c>
      <c r="N10" s="178" t="s">
        <v>99</v>
      </c>
      <c r="O10" s="178" t="s">
        <v>99</v>
      </c>
      <c r="P10" s="178" t="s">
        <v>99</v>
      </c>
      <c r="Q10" s="178" t="s">
        <v>99</v>
      </c>
      <c r="R10" s="181" t="s">
        <v>99</v>
      </c>
      <c r="S10" s="182" t="s">
        <v>99</v>
      </c>
      <c r="T10" s="180" t="s">
        <v>99</v>
      </c>
      <c r="U10" s="180" t="s">
        <v>99</v>
      </c>
      <c r="V10" s="180" t="s">
        <v>99</v>
      </c>
      <c r="W10" s="182" t="s">
        <v>99</v>
      </c>
      <c r="X10" s="178" t="s">
        <v>99</v>
      </c>
      <c r="Y10" s="178" t="s">
        <v>99</v>
      </c>
      <c r="Z10" s="178" t="s">
        <v>99</v>
      </c>
      <c r="AA10" s="178" t="s">
        <v>99</v>
      </c>
      <c r="AB10" s="178" t="s">
        <v>99</v>
      </c>
      <c r="AC10" s="178" t="s">
        <v>99</v>
      </c>
      <c r="AD10" s="178" t="s">
        <v>99</v>
      </c>
      <c r="AE10" s="178" t="s">
        <v>99</v>
      </c>
      <c r="AF10" s="178" t="s">
        <v>99</v>
      </c>
      <c r="AG10" s="178" t="s">
        <v>99</v>
      </c>
      <c r="AH10" s="178" t="s">
        <v>99</v>
      </c>
      <c r="AI10" s="178" t="s">
        <v>99</v>
      </c>
      <c r="AJ10" s="178" t="s">
        <v>99</v>
      </c>
      <c r="AK10" s="178" t="s">
        <v>99</v>
      </c>
      <c r="AL10" s="178" t="s">
        <v>99</v>
      </c>
      <c r="AM10" s="178" t="s">
        <v>99</v>
      </c>
      <c r="AN10" s="178" t="s">
        <v>99</v>
      </c>
      <c r="AO10" s="178" t="s">
        <v>99</v>
      </c>
      <c r="AP10" s="178" t="s">
        <v>99</v>
      </c>
      <c r="AQ10" s="178" t="s">
        <v>99</v>
      </c>
      <c r="AR10" s="178" t="s">
        <v>99</v>
      </c>
      <c r="AS10" s="178" t="s">
        <v>99</v>
      </c>
      <c r="AT10" s="178" t="s">
        <v>99</v>
      </c>
      <c r="AU10" s="178" t="s">
        <v>99</v>
      </c>
      <c r="AV10" s="178" t="s">
        <v>99</v>
      </c>
      <c r="AW10" s="178" t="s">
        <v>99</v>
      </c>
      <c r="AX10" s="178" t="s">
        <v>99</v>
      </c>
      <c r="AY10" s="178" t="s">
        <v>99</v>
      </c>
      <c r="AZ10" s="178" t="s">
        <v>99</v>
      </c>
      <c r="BA10" s="178" t="s">
        <v>99</v>
      </c>
      <c r="BB10" s="178" t="s">
        <v>99</v>
      </c>
      <c r="BC10" s="3"/>
      <c r="BD10" s="3"/>
      <c r="BE10" s="3"/>
      <c r="BF10" s="3"/>
      <c r="BG10" s="3"/>
      <c r="BH10" s="3"/>
      <c r="BI10" s="3"/>
      <c r="BJ10" s="3"/>
      <c r="BK10" s="3"/>
      <c r="BL10" s="3"/>
      <c r="BM10" s="3"/>
      <c r="BN10" s="3"/>
      <c r="BO10" s="3"/>
      <c r="BP10" s="3"/>
      <c r="BQ10" s="3"/>
      <c r="BR10" s="3"/>
      <c r="BS10" s="3"/>
      <c r="BT10" s="3"/>
    </row>
    <row r="11" spans="1:72" ht="39.75" customHeight="1" x14ac:dyDescent="0.25">
      <c r="A11" s="7">
        <f t="shared" ref="A11:A41" ca="1" si="2">IF(OFFSET($B11,IF(AND($K11=0,NOT(ISBLANK($K11))),-4,-3),-1)=0,1,0)</f>
        <v>1</v>
      </c>
      <c r="B11" s="78"/>
      <c r="C11" s="11"/>
      <c r="D11" s="12"/>
      <c r="E11" s="12"/>
      <c r="F11" s="13"/>
      <c r="G11" s="12"/>
      <c r="H11" s="9"/>
      <c r="I11" s="9"/>
      <c r="J11" s="65"/>
      <c r="K11" s="75"/>
      <c r="L11" s="75"/>
      <c r="M11" s="3"/>
      <c r="N11" s="275" t="s">
        <v>201</v>
      </c>
      <c r="O11" s="57"/>
      <c r="P11" s="57"/>
      <c r="Q11" s="57"/>
      <c r="R11" s="69"/>
      <c r="S11" s="72"/>
      <c r="T11" s="75"/>
      <c r="U11" s="75"/>
      <c r="V11" s="75"/>
      <c r="W11" s="58"/>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row>
    <row r="12" spans="1:72" ht="39.75" customHeight="1" x14ac:dyDescent="0.25">
      <c r="A12" s="7">
        <f t="shared" ca="1" si="2"/>
        <v>1</v>
      </c>
      <c r="B12" s="78">
        <v>1</v>
      </c>
      <c r="C12" s="11">
        <v>1</v>
      </c>
      <c r="D12" s="12">
        <f>(($E12-1)*$C12)+1</f>
        <v>1</v>
      </c>
      <c r="E12" s="12">
        <v>1</v>
      </c>
      <c r="F12" s="13">
        <v>2031</v>
      </c>
      <c r="G12" s="12">
        <v>30</v>
      </c>
      <c r="H12" s="9">
        <v>0.01</v>
      </c>
      <c r="I12" s="9"/>
      <c r="J12" s="65">
        <v>1.18</v>
      </c>
      <c r="K12" s="75">
        <v>20</v>
      </c>
      <c r="L12" s="75">
        <f>IF(M12="Allowance",1,ROUND(K12*B12/E12/H12,0)*H12)</f>
        <v>20</v>
      </c>
      <c r="M12" s="3" t="s">
        <v>202</v>
      </c>
      <c r="N12" s="3" t="s">
        <v>203</v>
      </c>
      <c r="O12" s="57">
        <f>IF($F12&gt;$BB$9,$F12,Current_Fiscal_Year+MATCH(TRUE,INDEX($X12:$BB12&lt;&gt;"",0),0)-1)</f>
        <v>2031</v>
      </c>
      <c r="P12" s="57" t="s">
        <v>204</v>
      </c>
      <c r="Q12" s="57" t="str">
        <f>$O12-Current_Fiscal_Year&amp;IF($B12&lt;1," to "&amp;Study_Length&amp;"+",IF( $E12&gt;1," to "&amp;IF($O12-Current_Fiscal_Year+$D12-1&gt;Study_Length,Study_Length&amp;"+",$O12-Current_Fiscal_Year+$D12-1),""))</f>
        <v>6</v>
      </c>
      <c r="R12" s="69">
        <v>1500</v>
      </c>
      <c r="S12" s="72">
        <v>1</v>
      </c>
      <c r="T12" s="75">
        <f>$L12*$R12*$S12</f>
        <v>30000</v>
      </c>
      <c r="U12" s="75">
        <f>$K12*$R12*$S12</f>
        <v>30000</v>
      </c>
      <c r="V12" s="75">
        <f ca="1">SUM(OFFSET($X12,,,1,Study_Length+1))</f>
        <v>35821.599999999999</v>
      </c>
      <c r="W12" s="58">
        <f ca="1">$V12/Total_Study_Expenditures</f>
        <v>5.4596049391117093E-3</v>
      </c>
      <c r="X12" s="59" t="str">
        <f t="shared" ref="X12:BB16" si="3">IFERROR(IF(OR(X$8 = ($F12 - Current_Fiscal_Year),AND(MOD($F12-X$9,$G12)=0,X$9&gt;$F12)),IF(secondaryInflationYear- Current_Fiscal_Year &gt;=X$8,ROUND($L12* $R12*$S12*((1 + X$7)^X$8),1),ROUND($L12* $R12*$S12*(((1+secondaryInflation)^(secondaryInflationYear-Current_Fiscal_Year)) * ((1+X$7)^(X$8-(secondaryInflationYear - Current_Fiscal_Year)))),1)),IF(AND($D12&lt;&gt;1,X$8 &gt; ($F12 - Current_Fiscal_Year),(X$8 - (($F12 - Current_Fiscal_Year)+$G12*INT(((X$8 - ($F12 - Current_Fiscal_Year)) / $G12))))/((($D12 - $E12)/($E12-1))+1) = INT((X$8 - (($F12 - Current_Fiscal_Year)+$G12*INT(((X$8 - ($F12 - Current_Fiscal_Year)) / $G12))))/((($D12 - $E12)/($E12-1))+1)), (X$8 - (($F12 - Current_Fiscal_Year)+$G12*INT(((X$8 - ($F12 - Current_Fiscal_Year)) / $G12)))) &lt;$D12),IF(secondaryInflationYear- Current_Fiscal_Year &gt;=X$8,ROUND($L12* $R12*$S12*((1 + X$7)^X$8),1),ROUND($L12* $R12*$S12*(((1+secondaryInflation)^(secondaryInflationYear-Current_Fiscal_Year)) * ((1+X$7)^(X$8-(secondaryInflationYear - Current_Fiscal_Year)))),1)),"")),"")</f>
        <v/>
      </c>
      <c r="Y12" s="59" t="str">
        <f t="shared" si="3"/>
        <v/>
      </c>
      <c r="Z12" s="59" t="str">
        <f t="shared" si="3"/>
        <v/>
      </c>
      <c r="AA12" s="59" t="str">
        <f t="shared" si="3"/>
        <v/>
      </c>
      <c r="AB12" s="59" t="str">
        <f t="shared" si="3"/>
        <v/>
      </c>
      <c r="AC12" s="59" t="str">
        <f t="shared" si="3"/>
        <v/>
      </c>
      <c r="AD12" s="59">
        <f t="shared" si="3"/>
        <v>35821.599999999999</v>
      </c>
      <c r="AE12" s="59" t="str">
        <f t="shared" si="3"/>
        <v/>
      </c>
      <c r="AF12" s="59" t="str">
        <f t="shared" si="3"/>
        <v/>
      </c>
      <c r="AG12" s="59" t="str">
        <f t="shared" si="3"/>
        <v/>
      </c>
      <c r="AH12" s="59" t="str">
        <f t="shared" si="3"/>
        <v/>
      </c>
      <c r="AI12" s="59" t="str">
        <f t="shared" si="3"/>
        <v/>
      </c>
      <c r="AJ12" s="59" t="str">
        <f t="shared" si="3"/>
        <v/>
      </c>
      <c r="AK12" s="59" t="str">
        <f t="shared" si="3"/>
        <v/>
      </c>
      <c r="AL12" s="59" t="str">
        <f t="shared" si="3"/>
        <v/>
      </c>
      <c r="AM12" s="59" t="str">
        <f t="shared" si="3"/>
        <v/>
      </c>
      <c r="AN12" s="59" t="str">
        <f t="shared" si="3"/>
        <v/>
      </c>
      <c r="AO12" s="59" t="str">
        <f t="shared" si="3"/>
        <v/>
      </c>
      <c r="AP12" s="59" t="str">
        <f t="shared" si="3"/>
        <v/>
      </c>
      <c r="AQ12" s="59" t="str">
        <f t="shared" si="3"/>
        <v/>
      </c>
      <c r="AR12" s="59" t="str">
        <f t="shared" si="3"/>
        <v/>
      </c>
      <c r="AS12" s="59" t="str">
        <f t="shared" si="3"/>
        <v/>
      </c>
      <c r="AT12" s="59" t="str">
        <f t="shared" si="3"/>
        <v/>
      </c>
      <c r="AU12" s="59" t="str">
        <f t="shared" si="3"/>
        <v/>
      </c>
      <c r="AV12" s="59" t="str">
        <f t="shared" si="3"/>
        <v/>
      </c>
      <c r="AW12" s="59" t="str">
        <f t="shared" si="3"/>
        <v/>
      </c>
      <c r="AX12" s="59" t="str">
        <f t="shared" si="3"/>
        <v/>
      </c>
      <c r="AY12" s="59" t="str">
        <f t="shared" si="3"/>
        <v/>
      </c>
      <c r="AZ12" s="59" t="str">
        <f t="shared" si="3"/>
        <v/>
      </c>
      <c r="BA12" s="59" t="str">
        <f t="shared" si="3"/>
        <v/>
      </c>
      <c r="BB12" s="59" t="str">
        <f t="shared" si="3"/>
        <v/>
      </c>
    </row>
    <row r="13" spans="1:72" ht="39.75" customHeight="1" x14ac:dyDescent="0.25">
      <c r="A13" s="7">
        <f t="shared" ca="1" si="2"/>
        <v>1</v>
      </c>
      <c r="B13" s="78">
        <v>1</v>
      </c>
      <c r="C13" s="11">
        <v>1</v>
      </c>
      <c r="D13" s="12">
        <f>(($E13-1)*$C13)+1</f>
        <v>2</v>
      </c>
      <c r="E13" s="12">
        <v>2</v>
      </c>
      <c r="F13" s="13">
        <v>2027</v>
      </c>
      <c r="G13" s="12">
        <v>23</v>
      </c>
      <c r="H13" s="9">
        <v>0.01</v>
      </c>
      <c r="I13" s="9"/>
      <c r="J13" s="65">
        <v>1.24</v>
      </c>
      <c r="K13" s="75">
        <v>5100</v>
      </c>
      <c r="L13" s="75">
        <f>IF(M13="Allowance",1,ROUND(K13*B13/E13/H13,0)*H13)</f>
        <v>2550</v>
      </c>
      <c r="M13" s="3" t="s">
        <v>205</v>
      </c>
      <c r="N13" s="3" t="s">
        <v>206</v>
      </c>
      <c r="O13" s="57">
        <f>IF($F13&gt;$BB$9,$F13,Current_Fiscal_Year+MATCH(TRUE,INDEX($X13:$BB13&lt;&gt;"",0),0)-1)</f>
        <v>2027</v>
      </c>
      <c r="P13" s="57" t="s">
        <v>207</v>
      </c>
      <c r="Q13" s="57" t="str">
        <f>$O13-Current_Fiscal_Year&amp;IF($B13&lt;1," to "&amp;Study_Length&amp;"+",IF( $E13&gt;1," to "&amp;IF($O13-Current_Fiscal_Year+$D13-1&gt;Study_Length,Study_Length&amp;"+",$O13-Current_Fiscal_Year+$D13-1),""))</f>
        <v>2 to 3</v>
      </c>
      <c r="R13" s="69">
        <v>19.5</v>
      </c>
      <c r="S13" s="72">
        <v>1</v>
      </c>
      <c r="T13" s="75">
        <f>$L13*$R13*$S13</f>
        <v>49725</v>
      </c>
      <c r="U13" s="75">
        <f>$K13*$R13*$S13</f>
        <v>99450</v>
      </c>
      <c r="V13" s="75">
        <f ca="1">SUM(OFFSET($X13,,,1,Study_Length+1))</f>
        <v>318438.69999999995</v>
      </c>
      <c r="W13" s="58">
        <f ca="1">$V13/Total_Study_Expenditures</f>
        <v>4.853355236294056E-2</v>
      </c>
      <c r="X13" s="59" t="str">
        <f t="shared" si="3"/>
        <v/>
      </c>
      <c r="Y13" s="59" t="str">
        <f t="shared" si="3"/>
        <v/>
      </c>
      <c r="Z13" s="59">
        <f>IFERROR(IFERROR(IF(OR(Z$8 = ($F13 - Current_Fiscal_Year),AND(MOD($F13-Z$9,$G13)=0,Z$9&gt;$F13)),IF(secondaryInflationYear- Current_Fiscal_Year &gt;=Z$8,ROUND($L13* $R13*$S13*((1 + Z$7)^Z$8),1),ROUND($L13* $R13*$S13*(((1+secondaryInflation)^(secondaryInflationYear-Current_Fiscal_Year)) * ((1+Z$7)^(Z$8-(secondaryInflationYear - Current_Fiscal_Year)))),1)),IF(AND($D13&lt;&gt;1,Z$8 &gt; ($F13 - Current_Fiscal_Year),(Z$8 - (($F13 - Current_Fiscal_Year)+$G13*INT(((Z$8 - ($F13 - Current_Fiscal_Year)) / $G13))))/((($D13 - $E13)/($E13-1))+1) = INT((Z$8 - (($F13 - Current_Fiscal_Year)+$G13*INT(((Z$8 - ($F13 - Current_Fiscal_Year)) / $G13))))/((($D13 - $E13)/($E13-1))+1)), (Z$8 - (($F13 - Current_Fiscal_Year)+$G13*INT(((Z$8 - ($F13 - Current_Fiscal_Year)) / $G13)))) &lt;$D13),IF(secondaryInflationYear- Current_Fiscal_Year &gt;=Z$8,ROUND($L13* $R13*$S13*((1 + Z$7)^Z$8),1),ROUND($L13* $R13*$S13*(((1+secondaryInflation)^(secondaryInflationYear-Current_Fiscal_Year)) * ((1+Z$7)^(Z$8-(secondaryInflationYear - Current_Fiscal_Year)))),1)),"")),"")*0.999999052191995,"")</f>
        <v>52753.249999999971</v>
      </c>
      <c r="AA13" s="59">
        <f>IFERROR(IFERROR(IF(OR(AA$8 = ($F13 - Current_Fiscal_Year),AND(MOD($F13-AA$9,$G13)=0,AA$9&gt;$F13)),IF(secondaryInflationYear- Current_Fiscal_Year &gt;=AA$8,ROUND($L13* $R13*$S13*((1 + AA$7)^AA$8),1),ROUND($L13* $R13*$S13*(((1+secondaryInflation)^(secondaryInflationYear-Current_Fiscal_Year)) * ((1+AA$7)^(AA$8-(secondaryInflationYear - Current_Fiscal_Year)))),1)),IF(AND($D13&lt;&gt;1,AA$8 &gt; ($F13 - Current_Fiscal_Year),(AA$8 - (($F13 - Current_Fiscal_Year)+$G13*INT(((AA$8 - ($F13 - Current_Fiscal_Year)) / $G13))))/((($D13 - $E13)/($E13-1))+1) = INT((AA$8 - (($F13 - Current_Fiscal_Year)+$G13*INT(((AA$8 - ($F13 - Current_Fiscal_Year)) / $G13))))/((($D13 - $E13)/($E13-1))+1)), (AA$8 - (($F13 - Current_Fiscal_Year)+$G13*INT(((AA$8 - ($F13 - Current_Fiscal_Year)) / $G13)))) &lt;$D13),IF(secondaryInflationYear- Current_Fiscal_Year &gt;=AA$8,ROUND($L13* $R13*$S13*((1 + AA$7)^AA$8),1),ROUND($L13* $R13*$S13*(((1+secondaryInflation)^(secondaryInflationYear-Current_Fiscal_Year)) * ((1+AA$7)^(AA$8-(secondaryInflationYear - Current_Fiscal_Year)))),1)),"")),"")*0.999999079798071,"")</f>
        <v>54335.850000000006</v>
      </c>
      <c r="AB13" s="59" t="str">
        <f t="shared" si="3"/>
        <v/>
      </c>
      <c r="AC13" s="59" t="str">
        <f t="shared" si="3"/>
        <v/>
      </c>
      <c r="AD13" s="59" t="str">
        <f t="shared" si="3"/>
        <v/>
      </c>
      <c r="AE13" s="59" t="str">
        <f t="shared" si="3"/>
        <v/>
      </c>
      <c r="AF13" s="59" t="str">
        <f t="shared" si="3"/>
        <v/>
      </c>
      <c r="AG13" s="59" t="str">
        <f t="shared" si="3"/>
        <v/>
      </c>
      <c r="AH13" s="59" t="str">
        <f t="shared" si="3"/>
        <v/>
      </c>
      <c r="AI13" s="59" t="str">
        <f t="shared" si="3"/>
        <v/>
      </c>
      <c r="AJ13" s="59" t="str">
        <f t="shared" si="3"/>
        <v/>
      </c>
      <c r="AK13" s="59" t="str">
        <f t="shared" si="3"/>
        <v/>
      </c>
      <c r="AL13" s="59" t="str">
        <f t="shared" si="3"/>
        <v/>
      </c>
      <c r="AM13" s="59" t="str">
        <f t="shared" si="3"/>
        <v/>
      </c>
      <c r="AN13" s="59" t="str">
        <f t="shared" si="3"/>
        <v/>
      </c>
      <c r="AO13" s="59" t="str">
        <f t="shared" si="3"/>
        <v/>
      </c>
      <c r="AP13" s="59" t="str">
        <f t="shared" si="3"/>
        <v/>
      </c>
      <c r="AQ13" s="59" t="str">
        <f t="shared" si="3"/>
        <v/>
      </c>
      <c r="AR13" s="59" t="str">
        <f t="shared" si="3"/>
        <v/>
      </c>
      <c r="AS13" s="59" t="str">
        <f t="shared" si="3"/>
        <v/>
      </c>
      <c r="AT13" s="59" t="str">
        <f t="shared" si="3"/>
        <v/>
      </c>
      <c r="AU13" s="59" t="str">
        <f t="shared" si="3"/>
        <v/>
      </c>
      <c r="AV13" s="59" t="str">
        <f t="shared" si="3"/>
        <v/>
      </c>
      <c r="AW13" s="59">
        <f t="shared" si="3"/>
        <v>104113.1</v>
      </c>
      <c r="AX13" s="59">
        <f t="shared" si="3"/>
        <v>107236.5</v>
      </c>
      <c r="AY13" s="59" t="str">
        <f t="shared" si="3"/>
        <v/>
      </c>
      <c r="AZ13" s="59" t="str">
        <f t="shared" si="3"/>
        <v/>
      </c>
      <c r="BA13" s="59" t="str">
        <f t="shared" si="3"/>
        <v/>
      </c>
      <c r="BB13" s="59" t="str">
        <f t="shared" si="3"/>
        <v/>
      </c>
    </row>
    <row r="14" spans="1:72" ht="39.75" customHeight="1" x14ac:dyDescent="0.25">
      <c r="A14" s="7">
        <f t="shared" ca="1" si="2"/>
        <v>0</v>
      </c>
      <c r="B14" s="78">
        <v>1</v>
      </c>
      <c r="C14" s="11">
        <v>1</v>
      </c>
      <c r="D14" s="12">
        <f>(($E14-1)*$C14)+1</f>
        <v>1</v>
      </c>
      <c r="E14" s="12">
        <v>1</v>
      </c>
      <c r="F14" s="13">
        <v>2046</v>
      </c>
      <c r="G14" s="12">
        <v>23</v>
      </c>
      <c r="H14" s="9">
        <v>0.01</v>
      </c>
      <c r="I14" s="9"/>
      <c r="J14" s="65">
        <v>1.2410000000000001</v>
      </c>
      <c r="K14" s="75">
        <v>750</v>
      </c>
      <c r="L14" s="75">
        <f>IF(M14="Allowance",1,ROUND(K14*B14/E14/H14,0)*H14)</f>
        <v>750</v>
      </c>
      <c r="M14" s="3" t="s">
        <v>205</v>
      </c>
      <c r="N14" s="3" t="s">
        <v>208</v>
      </c>
      <c r="O14" s="57">
        <f>IF($F14&gt;$BB$9,$F14,Current_Fiscal_Year+MATCH(TRUE,INDEX($X14:$BB14&lt;&gt;"",0),0)-1)</f>
        <v>2046</v>
      </c>
      <c r="P14" s="57" t="s">
        <v>207</v>
      </c>
      <c r="Q14" s="57" t="str">
        <f>$O14-Current_Fiscal_Year&amp;IF($B14&lt;1," to "&amp;Study_Length&amp;"+",IF( $E14&gt;1," to "&amp;IF($O14-Current_Fiscal_Year+$D14-1&gt;Study_Length,Study_Length&amp;"+",$O14-Current_Fiscal_Year+$D14-1),""))</f>
        <v>21</v>
      </c>
      <c r="R14" s="69">
        <v>19.5</v>
      </c>
      <c r="S14" s="72">
        <v>1</v>
      </c>
      <c r="T14" s="75">
        <f>$L14*$R14*$S14</f>
        <v>14625</v>
      </c>
      <c r="U14" s="75">
        <f>$K14*$R14*$S14</f>
        <v>14625</v>
      </c>
      <c r="V14" s="75">
        <f ca="1">SUM(OFFSET($X14,,,1,Study_Length+1))</f>
        <v>27206.799999999999</v>
      </c>
      <c r="W14" s="58">
        <f ca="1">$V14/Total_Study_Expenditures</f>
        <v>4.1466148820104194E-3</v>
      </c>
      <c r="X14" s="59" t="str">
        <f t="shared" si="3"/>
        <v/>
      </c>
      <c r="Y14" s="59" t="str">
        <f t="shared" si="3"/>
        <v/>
      </c>
      <c r="Z14" s="59" t="str">
        <f t="shared" si="3"/>
        <v/>
      </c>
      <c r="AA14" s="59" t="str">
        <f t="shared" si="3"/>
        <v/>
      </c>
      <c r="AB14" s="59" t="str">
        <f t="shared" si="3"/>
        <v/>
      </c>
      <c r="AC14" s="59" t="str">
        <f t="shared" si="3"/>
        <v/>
      </c>
      <c r="AD14" s="59" t="str">
        <f t="shared" si="3"/>
        <v/>
      </c>
      <c r="AE14" s="59" t="str">
        <f t="shared" si="3"/>
        <v/>
      </c>
      <c r="AF14" s="59" t="str">
        <f t="shared" si="3"/>
        <v/>
      </c>
      <c r="AG14" s="59" t="str">
        <f t="shared" si="3"/>
        <v/>
      </c>
      <c r="AH14" s="59" t="str">
        <f t="shared" si="3"/>
        <v/>
      </c>
      <c r="AI14" s="59" t="str">
        <f t="shared" si="3"/>
        <v/>
      </c>
      <c r="AJ14" s="59" t="str">
        <f t="shared" si="3"/>
        <v/>
      </c>
      <c r="AK14" s="59" t="str">
        <f t="shared" si="3"/>
        <v/>
      </c>
      <c r="AL14" s="59" t="str">
        <f t="shared" si="3"/>
        <v/>
      </c>
      <c r="AM14" s="59" t="str">
        <f t="shared" si="3"/>
        <v/>
      </c>
      <c r="AN14" s="59" t="str">
        <f t="shared" si="3"/>
        <v/>
      </c>
      <c r="AO14" s="59" t="str">
        <f t="shared" si="3"/>
        <v/>
      </c>
      <c r="AP14" s="59" t="str">
        <f t="shared" si="3"/>
        <v/>
      </c>
      <c r="AQ14" s="59" t="str">
        <f t="shared" si="3"/>
        <v/>
      </c>
      <c r="AR14" s="59" t="str">
        <f t="shared" si="3"/>
        <v/>
      </c>
      <c r="AS14" s="59">
        <f t="shared" si="3"/>
        <v>27206.799999999999</v>
      </c>
      <c r="AT14" s="59" t="str">
        <f t="shared" si="3"/>
        <v/>
      </c>
      <c r="AU14" s="59" t="str">
        <f t="shared" si="3"/>
        <v/>
      </c>
      <c r="AV14" s="59" t="str">
        <f t="shared" si="3"/>
        <v/>
      </c>
      <c r="AW14" s="59" t="str">
        <f t="shared" si="3"/>
        <v/>
      </c>
      <c r="AX14" s="59" t="str">
        <f t="shared" si="3"/>
        <v/>
      </c>
      <c r="AY14" s="59" t="str">
        <f t="shared" si="3"/>
        <v/>
      </c>
      <c r="AZ14" s="59" t="str">
        <f t="shared" si="3"/>
        <v/>
      </c>
      <c r="BA14" s="59" t="str">
        <f t="shared" si="3"/>
        <v/>
      </c>
      <c r="BB14" s="59" t="str">
        <f t="shared" si="3"/>
        <v/>
      </c>
    </row>
    <row r="15" spans="1:72" ht="39.75" customHeight="1" x14ac:dyDescent="0.25">
      <c r="A15" s="7">
        <f t="shared" ca="1" si="2"/>
        <v>0</v>
      </c>
      <c r="B15" s="78">
        <v>1</v>
      </c>
      <c r="C15" s="11">
        <v>1</v>
      </c>
      <c r="D15" s="12">
        <f>(($E15-1)*$C15)+1</f>
        <v>2</v>
      </c>
      <c r="E15" s="12">
        <v>2</v>
      </c>
      <c r="F15" s="13">
        <v>2027</v>
      </c>
      <c r="G15" s="12">
        <v>23</v>
      </c>
      <c r="H15" s="9">
        <v>0.01</v>
      </c>
      <c r="I15" s="9"/>
      <c r="J15" s="65">
        <v>1.28</v>
      </c>
      <c r="K15" s="75">
        <v>1080</v>
      </c>
      <c r="L15" s="75">
        <f>IF(M15="Allowance",1,ROUND(K15*B15/E15/H15,0)*H15)</f>
        <v>540</v>
      </c>
      <c r="M15" s="3" t="s">
        <v>209</v>
      </c>
      <c r="N15" s="3" t="s">
        <v>210</v>
      </c>
      <c r="O15" s="57">
        <f>IF($F15&gt;$BB$9,$F15,Current_Fiscal_Year+MATCH(TRUE,INDEX($X15:$BB15&lt;&gt;"",0),0)-1)</f>
        <v>2027</v>
      </c>
      <c r="P15" s="57" t="s">
        <v>207</v>
      </c>
      <c r="Q15" s="57" t="str">
        <f>$O15-Current_Fiscal_Year&amp;IF($B15&lt;1," to "&amp;Study_Length&amp;"+",IF( $E15&gt;1," to "&amp;IF($O15-Current_Fiscal_Year+$D15-1&gt;Study_Length,Study_Length&amp;"+",$O15-Current_Fiscal_Year+$D15-1),""))</f>
        <v>2 to 3</v>
      </c>
      <c r="R15" s="69">
        <v>670</v>
      </c>
      <c r="S15" s="72">
        <v>1</v>
      </c>
      <c r="T15" s="75">
        <f>$L15*$R15*$S15</f>
        <v>361800</v>
      </c>
      <c r="U15" s="75">
        <f>$K15*$R15*$S15</f>
        <v>723600</v>
      </c>
      <c r="V15" s="75">
        <f ca="1">SUM(OFFSET($X15,,,1,Study_Length+1))</f>
        <v>2316965.7499999995</v>
      </c>
      <c r="W15" s="58">
        <f ca="1">$V15/Total_Study_Expenditures</f>
        <v>0.35313100622118115</v>
      </c>
      <c r="X15" s="59" t="str">
        <f t="shared" si="3"/>
        <v/>
      </c>
      <c r="Y15" s="59" t="str">
        <f t="shared" si="3"/>
        <v/>
      </c>
      <c r="Z15" s="59">
        <f t="shared" si="3"/>
        <v>383833.59999999998</v>
      </c>
      <c r="AA15" s="59">
        <f t="shared" si="3"/>
        <v>395348.6</v>
      </c>
      <c r="AB15" s="59" t="str">
        <f t="shared" si="3"/>
        <v/>
      </c>
      <c r="AC15" s="59" t="str">
        <f t="shared" si="3"/>
        <v/>
      </c>
      <c r="AD15" s="59" t="str">
        <f t="shared" si="3"/>
        <v/>
      </c>
      <c r="AE15" s="59" t="str">
        <f t="shared" si="3"/>
        <v/>
      </c>
      <c r="AF15" s="59" t="str">
        <f t="shared" si="3"/>
        <v/>
      </c>
      <c r="AG15" s="59" t="str">
        <f t="shared" si="3"/>
        <v/>
      </c>
      <c r="AH15" s="59" t="str">
        <f t="shared" si="3"/>
        <v/>
      </c>
      <c r="AI15" s="59" t="str">
        <f t="shared" si="3"/>
        <v/>
      </c>
      <c r="AJ15" s="59" t="str">
        <f t="shared" si="3"/>
        <v/>
      </c>
      <c r="AK15" s="59" t="str">
        <f t="shared" si="3"/>
        <v/>
      </c>
      <c r="AL15" s="59" t="str">
        <f t="shared" si="3"/>
        <v/>
      </c>
      <c r="AM15" s="59" t="str">
        <f t="shared" si="3"/>
        <v/>
      </c>
      <c r="AN15" s="59" t="str">
        <f t="shared" si="3"/>
        <v/>
      </c>
      <c r="AO15" s="59" t="str">
        <f t="shared" si="3"/>
        <v/>
      </c>
      <c r="AP15" s="59" t="str">
        <f t="shared" si="3"/>
        <v/>
      </c>
      <c r="AQ15" s="59" t="str">
        <f t="shared" si="3"/>
        <v/>
      </c>
      <c r="AR15" s="59" t="str">
        <f t="shared" si="3"/>
        <v/>
      </c>
      <c r="AS15" s="59" t="str">
        <f t="shared" si="3"/>
        <v/>
      </c>
      <c r="AT15" s="59" t="str">
        <f t="shared" si="3"/>
        <v/>
      </c>
      <c r="AU15" s="59" t="str">
        <f t="shared" si="3"/>
        <v/>
      </c>
      <c r="AV15" s="59" t="str">
        <f t="shared" si="3"/>
        <v/>
      </c>
      <c r="AW15" s="59">
        <f>IFERROR(IFERROR(IF(OR(AW$8 = ($F15 - Current_Fiscal_Year),AND(MOD($F15-AW$9,$G15)=0,AW$9&gt;$F15)),IF(secondaryInflationYear- Current_Fiscal_Year &gt;=AW$8,ROUND($L15* $R15*$S15*((1 + AW$7)^AW$8),1),ROUND($L15* $R15*$S15*(((1+secondaryInflation)^(secondaryInflationYear-Current_Fiscal_Year)) * ((1+AW$7)^(AW$8-(secondaryInflationYear - Current_Fiscal_Year)))),1)),IF(AND($D15&lt;&gt;1,AW$8 &gt; ($F15 - Current_Fiscal_Year),(AW$8 - (($F15 - Current_Fiscal_Year)+$G15*INT(((AW$8 - ($F15 - Current_Fiscal_Year)) / $G15))))/((($D15 - $E15)/($E15-1))+1) = INT((AW$8 - (($F15 - Current_Fiscal_Year)+$G15*INT(((AW$8 - ($F15 - Current_Fiscal_Year)) / $G15))))/((($D15 - $E15)/($E15-1))+1)), (AW$8 - (($F15 - Current_Fiscal_Year)+$G15*INT(((AW$8 - ($F15 - Current_Fiscal_Year)) / $G15)))) &lt;$D15),IF(secondaryInflationYear- Current_Fiscal_Year &gt;=AW$8,ROUND($L15* $R15*$S15*((1 + AW$7)^AW$8),1),ROUND($L15* $R15*$S15*(((1+secondaryInflation)^(secondaryInflationYear-Current_Fiscal_Year)) * ((1+AW$7)^(AW$8-(secondaryInflationYear - Current_Fiscal_Year)))),1)),"")),"")*0.999999933995917,"")</f>
        <v>757528.84999999963</v>
      </c>
      <c r="AX15" s="59">
        <f t="shared" si="3"/>
        <v>780254.7</v>
      </c>
      <c r="AY15" s="59" t="str">
        <f t="shared" si="3"/>
        <v/>
      </c>
      <c r="AZ15" s="59" t="str">
        <f t="shared" si="3"/>
        <v/>
      </c>
      <c r="BA15" s="59" t="str">
        <f t="shared" si="3"/>
        <v/>
      </c>
      <c r="BB15" s="59" t="str">
        <f t="shared" si="3"/>
        <v/>
      </c>
    </row>
    <row r="16" spans="1:72" ht="39.75" customHeight="1" x14ac:dyDescent="0.25">
      <c r="A16" s="7">
        <f t="shared" ca="1" si="2"/>
        <v>0</v>
      </c>
      <c r="B16" s="78">
        <v>1</v>
      </c>
      <c r="C16" s="11">
        <v>1</v>
      </c>
      <c r="D16" s="12">
        <f>(($E16-1)*$C16)+1</f>
        <v>2</v>
      </c>
      <c r="E16" s="12">
        <v>2</v>
      </c>
      <c r="F16" s="13">
        <v>2036</v>
      </c>
      <c r="G16" s="12">
        <v>35</v>
      </c>
      <c r="H16" s="9">
        <v>0.01</v>
      </c>
      <c r="I16" s="9"/>
      <c r="J16" s="65">
        <v>1.86</v>
      </c>
      <c r="K16" s="75">
        <v>51900</v>
      </c>
      <c r="L16" s="75">
        <f>IF(M16="Allowance",1,ROUND(K16*B16/E16/H16,0)*H16)</f>
        <v>25950</v>
      </c>
      <c r="M16" s="3" t="s">
        <v>211</v>
      </c>
      <c r="N16" s="3" t="s">
        <v>212</v>
      </c>
      <c r="O16" s="57">
        <f>IF($F16&gt;$BB$9,$F16,Current_Fiscal_Year+MATCH(TRUE,INDEX($X16:$BB16&lt;&gt;"",0),0)-1)</f>
        <v>2036</v>
      </c>
      <c r="P16" s="57" t="s">
        <v>213</v>
      </c>
      <c r="Q16" s="57" t="str">
        <f>$O16-Current_Fiscal_Year&amp;IF($B16&lt;1," to "&amp;Study_Length&amp;"+",IF( $E16&gt;1," to "&amp;IF($O16-Current_Fiscal_Year+$D16-1&gt;Study_Length,Study_Length&amp;"+",$O16-Current_Fiscal_Year+$D16-1),""))</f>
        <v>11 to 12</v>
      </c>
      <c r="R16" s="69">
        <v>10.5</v>
      </c>
      <c r="S16" s="72">
        <v>1</v>
      </c>
      <c r="T16" s="75">
        <f>$L16*$R16*$S16</f>
        <v>272475</v>
      </c>
      <c r="U16" s="75">
        <f>$K16*$R16*$S16</f>
        <v>544950</v>
      </c>
      <c r="V16" s="75">
        <f ca="1">SUM(OFFSET($X16,,,1,Study_Length+1))</f>
        <v>765653.3</v>
      </c>
      <c r="W16" s="58">
        <f ca="1">$V16/Total_Study_Expenditures</f>
        <v>0.11669396504698784</v>
      </c>
      <c r="X16" s="59" t="str">
        <f t="shared" si="3"/>
        <v/>
      </c>
      <c r="Y16" s="59" t="str">
        <f t="shared" si="3"/>
        <v/>
      </c>
      <c r="Z16" s="59" t="str">
        <f t="shared" si="3"/>
        <v/>
      </c>
      <c r="AA16" s="59" t="str">
        <f t="shared" si="3"/>
        <v/>
      </c>
      <c r="AB16" s="59" t="str">
        <f t="shared" si="3"/>
        <v/>
      </c>
      <c r="AC16" s="59" t="str">
        <f t="shared" si="3"/>
        <v/>
      </c>
      <c r="AD16" s="59" t="str">
        <f t="shared" si="3"/>
        <v/>
      </c>
      <c r="AE16" s="59" t="str">
        <f t="shared" si="3"/>
        <v/>
      </c>
      <c r="AF16" s="59" t="str">
        <f t="shared" si="3"/>
        <v/>
      </c>
      <c r="AG16" s="59" t="str">
        <f t="shared" si="3"/>
        <v/>
      </c>
      <c r="AH16" s="59" t="str">
        <f t="shared" si="3"/>
        <v/>
      </c>
      <c r="AI16" s="59">
        <f t="shared" si="3"/>
        <v>377169.1</v>
      </c>
      <c r="AJ16" s="59">
        <f t="shared" si="3"/>
        <v>388484.2</v>
      </c>
      <c r="AK16" s="59" t="str">
        <f t="shared" si="3"/>
        <v/>
      </c>
      <c r="AL16" s="59" t="str">
        <f t="shared" si="3"/>
        <v/>
      </c>
      <c r="AM16" s="59" t="str">
        <f t="shared" si="3"/>
        <v/>
      </c>
      <c r="AN16" s="59" t="str">
        <f t="shared" si="3"/>
        <v/>
      </c>
      <c r="AO16" s="59" t="str">
        <f t="shared" si="3"/>
        <v/>
      </c>
      <c r="AP16" s="59" t="str">
        <f t="shared" si="3"/>
        <v/>
      </c>
      <c r="AQ16" s="59" t="str">
        <f t="shared" si="3"/>
        <v/>
      </c>
      <c r="AR16" s="59" t="str">
        <f t="shared" si="3"/>
        <v/>
      </c>
      <c r="AS16" s="59" t="str">
        <f t="shared" si="3"/>
        <v/>
      </c>
      <c r="AT16" s="59" t="str">
        <f t="shared" si="3"/>
        <v/>
      </c>
      <c r="AU16" s="59" t="str">
        <f t="shared" si="3"/>
        <v/>
      </c>
      <c r="AV16" s="59" t="str">
        <f t="shared" si="3"/>
        <v/>
      </c>
      <c r="AW16" s="59" t="str">
        <f t="shared" si="3"/>
        <v/>
      </c>
      <c r="AX16" s="59" t="str">
        <f t="shared" si="3"/>
        <v/>
      </c>
      <c r="AY16" s="59" t="str">
        <f t="shared" si="3"/>
        <v/>
      </c>
      <c r="AZ16" s="59" t="str">
        <f t="shared" si="3"/>
        <v/>
      </c>
      <c r="BA16" s="59" t="str">
        <f t="shared" si="3"/>
        <v/>
      </c>
      <c r="BB16" s="59" t="str">
        <f t="shared" si="3"/>
        <v/>
      </c>
    </row>
    <row r="17" spans="1:54" ht="39.75" customHeight="1" x14ac:dyDescent="0.25">
      <c r="A17" s="7">
        <f t="shared" ca="1" si="2"/>
        <v>1</v>
      </c>
      <c r="B17" s="78"/>
      <c r="C17" s="11"/>
      <c r="D17" s="12"/>
      <c r="E17" s="12"/>
      <c r="F17" s="13"/>
      <c r="G17" s="12"/>
      <c r="H17" s="9"/>
      <c r="I17" s="9"/>
      <c r="J17" s="65"/>
      <c r="K17" s="75"/>
      <c r="L17" s="75"/>
      <c r="M17" s="3"/>
      <c r="N17" s="3"/>
      <c r="O17" s="57"/>
      <c r="P17" s="57"/>
      <c r="Q17" s="57"/>
      <c r="R17" s="69"/>
      <c r="S17" s="72"/>
      <c r="T17" s="75"/>
      <c r="U17" s="75"/>
      <c r="V17" s="75"/>
      <c r="W17" s="58"/>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row>
    <row r="18" spans="1:54" ht="39.75" customHeight="1" x14ac:dyDescent="0.25">
      <c r="A18" s="7">
        <f t="shared" ca="1" si="2"/>
        <v>1</v>
      </c>
      <c r="B18" s="78"/>
      <c r="C18" s="11"/>
      <c r="D18" s="12"/>
      <c r="E18" s="12"/>
      <c r="F18" s="13"/>
      <c r="G18" s="12"/>
      <c r="H18" s="9"/>
      <c r="I18" s="9"/>
      <c r="J18" s="65"/>
      <c r="K18" s="75"/>
      <c r="L18" s="75"/>
      <c r="M18" s="3"/>
      <c r="N18" s="275" t="s">
        <v>214</v>
      </c>
      <c r="O18" s="57"/>
      <c r="P18" s="57"/>
      <c r="Q18" s="57"/>
      <c r="R18" s="69"/>
      <c r="S18" s="72"/>
      <c r="T18" s="75"/>
      <c r="U18" s="75"/>
      <c r="V18" s="75"/>
      <c r="W18" s="58"/>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row>
    <row r="19" spans="1:54" ht="39.75" customHeight="1" x14ac:dyDescent="0.25">
      <c r="A19" s="7">
        <f t="shared" ca="1" si="2"/>
        <v>1</v>
      </c>
      <c r="B19" s="78">
        <v>1</v>
      </c>
      <c r="C19" s="11">
        <v>1</v>
      </c>
      <c r="D19" s="12">
        <f>(($E19-1)*$C19)+1</f>
        <v>2</v>
      </c>
      <c r="E19" s="12">
        <v>2</v>
      </c>
      <c r="F19" s="13">
        <v>2027</v>
      </c>
      <c r="G19" s="12">
        <v>25</v>
      </c>
      <c r="H19" s="9">
        <v>0.01</v>
      </c>
      <c r="I19" s="9"/>
      <c r="J19" s="65">
        <v>3.56</v>
      </c>
      <c r="K19" s="75">
        <v>2</v>
      </c>
      <c r="L19" s="75">
        <f>IF(M19="Allowance",1,ROUND(K19*B19/E19/H19,0)*H19)</f>
        <v>1</v>
      </c>
      <c r="M19" s="3" t="s">
        <v>215</v>
      </c>
      <c r="N19" s="3" t="s">
        <v>216</v>
      </c>
      <c r="O19" s="57">
        <f>IF($F19&gt;$BB$9,$F19,Current_Fiscal_Year+MATCH(TRUE,INDEX($X19:$BB19&lt;&gt;"",0),0)-1)</f>
        <v>2027</v>
      </c>
      <c r="P19" s="57" t="s">
        <v>217</v>
      </c>
      <c r="Q19" s="57" t="str">
        <f>$O19-Current_Fiscal_Year&amp;IF($B19&lt;1," to "&amp;Study_Length&amp;"+",IF( $E19&gt;1," to "&amp;IF($O19-Current_Fiscal_Year+$D19-1&gt;Study_Length,Study_Length&amp;"+",$O19-Current_Fiscal_Year+$D19-1),""))</f>
        <v>2 to 3</v>
      </c>
      <c r="R19" s="69">
        <v>43000</v>
      </c>
      <c r="S19" s="72">
        <v>1</v>
      </c>
      <c r="T19" s="75">
        <f>$L19*$R19*$S19</f>
        <v>43000</v>
      </c>
      <c r="U19" s="75">
        <f>$K19*$R19*$S19</f>
        <v>86000</v>
      </c>
      <c r="V19" s="75">
        <f ca="1">SUM(OFFSET($X19,,,1,Study_Length+1))</f>
        <v>286502.3</v>
      </c>
      <c r="W19" s="58">
        <f ca="1">$V19/Total_Study_Expenditures</f>
        <v>4.3666094539240696E-2</v>
      </c>
      <c r="X19" s="59" t="str">
        <f t="shared" ref="X19:BB19" si="4">IFERROR(IF(OR(X$8 = ($F19 - Current_Fiscal_Year),AND(MOD($F19-X$9,$G19)=0,X$9&gt;$F19)),IF(secondaryInflationYear- Current_Fiscal_Year &gt;=X$8,ROUND($L19* $R19*$S19*((1 + X$7)^X$8),1),ROUND($L19* $R19*$S19*(((1+secondaryInflation)^(secondaryInflationYear-Current_Fiscal_Year)) * ((1+X$7)^(X$8-(secondaryInflationYear - Current_Fiscal_Year)))),1)),IF(AND($D19&lt;&gt;1,X$8 &gt; ($F19 - Current_Fiscal_Year),(X$8 - (($F19 - Current_Fiscal_Year)+$G19*INT(((X$8 - ($F19 - Current_Fiscal_Year)) / $G19))))/((($D19 - $E19)/($E19-1))+1) = INT((X$8 - (($F19 - Current_Fiscal_Year)+$G19*INT(((X$8 - ($F19 - Current_Fiscal_Year)) / $G19))))/((($D19 - $E19)/($E19-1))+1)), (X$8 - (($F19 - Current_Fiscal_Year)+$G19*INT(((X$8 - ($F19 - Current_Fiscal_Year)) / $G19)))) &lt;$D19),IF(secondaryInflationYear- Current_Fiscal_Year &gt;=X$8,ROUND($L19* $R19*$S19*((1 + X$7)^X$8),1),ROUND($L19* $R19*$S19*(((1+secondaryInflation)^(secondaryInflationYear-Current_Fiscal_Year)) * ((1+X$7)^(X$8-(secondaryInflationYear - Current_Fiscal_Year)))),1)),"")),"")</f>
        <v/>
      </c>
      <c r="Y19" s="59" t="str">
        <f t="shared" si="4"/>
        <v/>
      </c>
      <c r="Z19" s="59">
        <f t="shared" si="4"/>
        <v>45618.7</v>
      </c>
      <c r="AA19" s="59">
        <f t="shared" si="4"/>
        <v>46987.3</v>
      </c>
      <c r="AB19" s="59" t="str">
        <f t="shared" si="4"/>
        <v/>
      </c>
      <c r="AC19" s="59" t="str">
        <f t="shared" si="4"/>
        <v/>
      </c>
      <c r="AD19" s="59" t="str">
        <f t="shared" si="4"/>
        <v/>
      </c>
      <c r="AE19" s="59" t="str">
        <f t="shared" si="4"/>
        <v/>
      </c>
      <c r="AF19" s="59" t="str">
        <f t="shared" si="4"/>
        <v/>
      </c>
      <c r="AG19" s="59" t="str">
        <f t="shared" si="4"/>
        <v/>
      </c>
      <c r="AH19" s="59" t="str">
        <f t="shared" si="4"/>
        <v/>
      </c>
      <c r="AI19" s="59" t="str">
        <f t="shared" si="4"/>
        <v/>
      </c>
      <c r="AJ19" s="59" t="str">
        <f t="shared" si="4"/>
        <v/>
      </c>
      <c r="AK19" s="59" t="str">
        <f t="shared" si="4"/>
        <v/>
      </c>
      <c r="AL19" s="59" t="str">
        <f t="shared" si="4"/>
        <v/>
      </c>
      <c r="AM19" s="59" t="str">
        <f t="shared" si="4"/>
        <v/>
      </c>
      <c r="AN19" s="59" t="str">
        <f t="shared" si="4"/>
        <v/>
      </c>
      <c r="AO19" s="59" t="str">
        <f t="shared" si="4"/>
        <v/>
      </c>
      <c r="AP19" s="59" t="str">
        <f t="shared" si="4"/>
        <v/>
      </c>
      <c r="AQ19" s="59" t="str">
        <f t="shared" si="4"/>
        <v/>
      </c>
      <c r="AR19" s="59" t="str">
        <f t="shared" si="4"/>
        <v/>
      </c>
      <c r="AS19" s="59" t="str">
        <f t="shared" si="4"/>
        <v/>
      </c>
      <c r="AT19" s="59" t="str">
        <f t="shared" si="4"/>
        <v/>
      </c>
      <c r="AU19" s="59" t="str">
        <f t="shared" si="4"/>
        <v/>
      </c>
      <c r="AV19" s="59" t="str">
        <f t="shared" si="4"/>
        <v/>
      </c>
      <c r="AW19" s="59" t="str">
        <f t="shared" si="4"/>
        <v/>
      </c>
      <c r="AX19" s="59" t="str">
        <f t="shared" si="4"/>
        <v/>
      </c>
      <c r="AY19" s="59">
        <f t="shared" si="4"/>
        <v>95515.4</v>
      </c>
      <c r="AZ19" s="59">
        <f t="shared" si="4"/>
        <v>98380.9</v>
      </c>
      <c r="BA19" s="59" t="str">
        <f t="shared" si="4"/>
        <v/>
      </c>
      <c r="BB19" s="59" t="str">
        <f t="shared" si="4"/>
        <v/>
      </c>
    </row>
    <row r="20" spans="1:54" ht="39.75" customHeight="1" x14ac:dyDescent="0.25">
      <c r="A20" s="7">
        <f t="shared" ca="1" si="2"/>
        <v>0</v>
      </c>
      <c r="B20" s="78"/>
      <c r="C20" s="11"/>
      <c r="D20" s="12"/>
      <c r="E20" s="12"/>
      <c r="F20" s="13"/>
      <c r="G20" s="12"/>
      <c r="H20" s="9"/>
      <c r="I20" s="9"/>
      <c r="J20" s="65"/>
      <c r="K20" s="75"/>
      <c r="L20" s="75"/>
      <c r="M20" s="3"/>
      <c r="N20" s="3"/>
      <c r="O20" s="57"/>
      <c r="P20" s="57"/>
      <c r="Q20" s="57"/>
      <c r="R20" s="69"/>
      <c r="S20" s="72"/>
      <c r="T20" s="75"/>
      <c r="U20" s="75"/>
      <c r="V20" s="75"/>
      <c r="W20" s="58"/>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row>
    <row r="21" spans="1:54" ht="39.75" customHeight="1" x14ac:dyDescent="0.25">
      <c r="A21" s="7">
        <f t="shared" ca="1" si="2"/>
        <v>0</v>
      </c>
      <c r="B21" s="78"/>
      <c r="C21" s="11"/>
      <c r="D21" s="12"/>
      <c r="E21" s="12"/>
      <c r="F21" s="13"/>
      <c r="G21" s="12"/>
      <c r="H21" s="9"/>
      <c r="I21" s="9"/>
      <c r="J21" s="65"/>
      <c r="K21" s="75"/>
      <c r="L21" s="75"/>
      <c r="M21" s="3"/>
      <c r="N21" s="275" t="s">
        <v>218</v>
      </c>
      <c r="O21" s="57"/>
      <c r="P21" s="57"/>
      <c r="Q21" s="57"/>
      <c r="R21" s="69"/>
      <c r="S21" s="72"/>
      <c r="T21" s="75"/>
      <c r="U21" s="75"/>
      <c r="V21" s="75"/>
      <c r="W21" s="58"/>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row>
    <row r="22" spans="1:54" ht="39.75" customHeight="1" x14ac:dyDescent="0.25">
      <c r="A22" s="7">
        <f t="shared" ca="1" si="2"/>
        <v>0</v>
      </c>
      <c r="B22" s="78">
        <v>1</v>
      </c>
      <c r="C22" s="11">
        <v>1</v>
      </c>
      <c r="D22" s="12">
        <f t="shared" ref="D22:D41" si="5">(($E22-1)*$C22)+1</f>
        <v>1</v>
      </c>
      <c r="E22" s="12">
        <v>1</v>
      </c>
      <c r="F22" s="13">
        <v>2026</v>
      </c>
      <c r="G22" s="12">
        <v>4</v>
      </c>
      <c r="H22" s="9">
        <v>0.01</v>
      </c>
      <c r="I22" s="9"/>
      <c r="J22" s="65">
        <v>4.0199999999999996</v>
      </c>
      <c r="K22" s="75">
        <v>9850</v>
      </c>
      <c r="L22" s="75">
        <f t="shared" ref="L22:L41" si="6">IF(M22="Allowance",1,ROUND(K22*B22/E22/H22,0)*H22)</f>
        <v>9850</v>
      </c>
      <c r="M22" s="3" t="s">
        <v>219</v>
      </c>
      <c r="N22" s="3" t="s">
        <v>220</v>
      </c>
      <c r="O22" s="57">
        <f t="shared" ref="O22:O41" si="7">IF($F22&gt;$BB$9,$F22,Current_Fiscal_Year+MATCH(TRUE,INDEX($X22:$BB22&lt;&gt;"",0),0)-1)</f>
        <v>2026</v>
      </c>
      <c r="P22" s="57" t="s">
        <v>221</v>
      </c>
      <c r="Q22" s="57" t="str">
        <f t="shared" ref="Q22:Q41" si="8">$O22-Current_Fiscal_Year&amp;IF($B22&lt;1," to "&amp;Study_Length&amp;"+",IF( $E22&gt;1," to "&amp;IF($O22-Current_Fiscal_Year+$D22-1&gt;Study_Length,Study_Length&amp;"+",$O22-Current_Fiscal_Year+$D22-1),""))</f>
        <v>1</v>
      </c>
      <c r="R22" s="69">
        <v>0.8</v>
      </c>
      <c r="S22" s="72">
        <v>1</v>
      </c>
      <c r="T22" s="75">
        <f t="shared" ref="T22:T41" si="9">$L22*$R22*$S22</f>
        <v>7880</v>
      </c>
      <c r="U22" s="75">
        <f t="shared" ref="U22:U41" si="10">$K22*$R22*$S22</f>
        <v>7880</v>
      </c>
      <c r="V22" s="75">
        <f t="shared" ref="V22:V41" ca="1" si="11">SUM(OFFSET($X22,,,1,Study_Length+1))</f>
        <v>75651.64</v>
      </c>
      <c r="W22" s="58">
        <f t="shared" ref="W22:W41" ca="1" si="12">$V22/Total_Study_Expenditures</f>
        <v>1.1530140122046501E-2</v>
      </c>
      <c r="X22" s="59" t="str">
        <f t="shared" ref="X22:BB30" si="13">IFERROR(IF(OR(X$8 = ($F22 - Current_Fiscal_Year),AND(MOD($F22-X$9,$G22)=0,X$9&gt;$F22)),IF(secondaryInflationYear- Current_Fiscal_Year &gt;=X$8,ROUND($L22* $R22*$S22*((1 + X$7)^X$8),1),ROUND($L22* $R22*$S22*(((1+secondaryInflation)^(secondaryInflationYear-Current_Fiscal_Year)) * ((1+X$7)^(X$8-(secondaryInflationYear - Current_Fiscal_Year)))),1)),IF(AND($D22&lt;&gt;1,X$8 &gt; ($F22 - Current_Fiscal_Year),(X$8 - (($F22 - Current_Fiscal_Year)+$G22*INT(((X$8 - ($F22 - Current_Fiscal_Year)) / $G22))))/((($D22 - $E22)/($E22-1))+1) = INT((X$8 - (($F22 - Current_Fiscal_Year)+$G22*INT(((X$8 - ($F22 - Current_Fiscal_Year)) / $G22))))/((($D22 - $E22)/($E22-1))+1)), (X$8 - (($F22 - Current_Fiscal_Year)+$G22*INT(((X$8 - ($F22 - Current_Fiscal_Year)) / $G22)))) &lt;$D22),IF(secondaryInflationYear- Current_Fiscal_Year &gt;=X$8,ROUND($L22* $R22*$S22*((1 + X$7)^X$8),1),ROUND($L22* $R22*$S22*(((1+secondaryInflation)^(secondaryInflationYear-Current_Fiscal_Year)) * ((1+X$7)^(X$8-(secondaryInflationYear - Current_Fiscal_Year)))),1)),"")),"")</f>
        <v/>
      </c>
      <c r="Y22" s="59">
        <f t="shared" si="13"/>
        <v>8116.4</v>
      </c>
      <c r="Z22" s="59" t="str">
        <f t="shared" si="13"/>
        <v/>
      </c>
      <c r="AA22" s="59" t="str">
        <f t="shared" si="13"/>
        <v/>
      </c>
      <c r="AB22" s="59" t="str">
        <f t="shared" si="13"/>
        <v/>
      </c>
      <c r="AC22" s="59">
        <f>IFERROR(IFERROR(IF(OR(AC$8 = ($F22 - Current_Fiscal_Year),AND(MOD($F22-AC$9,$G22)=0,AC$9&gt;$F22)),IF(secondaryInflationYear- Current_Fiscal_Year &gt;=AC$8,ROUND($L22* $R22*$S22*((1 + AC$7)^AC$8),1),ROUND($L22* $R22*$S22*(((1+secondaryInflation)^(secondaryInflationYear-Current_Fiscal_Year)) * ((1+AC$7)^(AC$8-(secondaryInflationYear - Current_Fiscal_Year)))),1)),IF(AND($D22&lt;&gt;1,AC$8 &gt; ($F22 - Current_Fiscal_Year),(AC$8 - (($F22 - Current_Fiscal_Year)+$G22*INT(((AC$8 - ($F22 - Current_Fiscal_Year)) / $G22))))/((($D22 - $E22)/($E22-1))+1) = INT((AC$8 - (($F22 - Current_Fiscal_Year)+$G22*INT(((AC$8 - ($F22 - Current_Fiscal_Year)) / $G22))))/((($D22 - $E22)/($E22-1))+1)), (AC$8 - (($F22 - Current_Fiscal_Year)+$G22*INT(((AC$8 - ($F22 - Current_Fiscal_Year)) / $G22)))) &lt;$D22),IF(secondaryInflationYear- Current_Fiscal_Year &gt;=AC$8,ROUND($L22* $R22*$S22*((1 + AC$7)^AC$8),1),ROUND($L22* $R22*$S22*(((1+secondaryInflation)^(secondaryInflationYear-Current_Fiscal_Year)) * ((1+AC$7)^(AC$8-(secondaryInflationYear - Current_Fiscal_Year)))),1)),"")),"")*0.177664174448008,"")</f>
        <v>1622.979999999998</v>
      </c>
      <c r="AD22" s="59"/>
      <c r="AE22" s="59" t="str">
        <f t="shared" si="13"/>
        <v/>
      </c>
      <c r="AF22" s="59" t="str">
        <f t="shared" si="13"/>
        <v/>
      </c>
      <c r="AG22" s="59">
        <f>IFERROR(IFERROR(IF(OR(AG$8 = ($F22 - Current_Fiscal_Year),AND(MOD($F22-AG$9,$G22)=0,AG$9&gt;$F22)),IF(secondaryInflationYear- Current_Fiscal_Year &gt;=AG$8,ROUND($L22* $R22*$S22*((1 + AG$7)^AG$8),1),ROUND($L22* $R22*$S22*(((1+secondaryInflation)^(secondaryInflationYear-Current_Fiscal_Year)) * ((1+AG$7)^(AG$8-(secondaryInflationYear - Current_Fiscal_Year)))),1)),IF(AND($D22&lt;&gt;1,AG$8 &gt; ($F22 - Current_Fiscal_Year),(AG$8 - (($F22 - Current_Fiscal_Year)+$G22*INT(((AG$8 - ($F22 - Current_Fiscal_Year)) / $G22))))/((($D22 - $E22)/($E22-1))+1) = INT((AG$8 - (($F22 - Current_Fiscal_Year)+$G22*INT(((AG$8 - ($F22 - Current_Fiscal_Year)) / $G22))))/((($D22 - $E22)/($E22-1))+1)), (AG$8 - (($F22 - Current_Fiscal_Year)+$G22*INT(((AG$8 - ($F22 - Current_Fiscal_Year)) / $G22)))) &lt;$D22),IF(secondaryInflationYear- Current_Fiscal_Year &gt;=AG$8,ROUND($L22* $R22*$S22*((1 + AG$7)^AG$8),1),ROUND($L22* $R22*$S22*(((1+secondaryInflation)^(secondaryInflationYear-Current_Fiscal_Year)) * ((1+AG$7)^(AG$8-(secondaryInflationYear - Current_Fiscal_Year)))),1)),"")),"")*0.82233601774043,"")</f>
        <v>8454.9300000000057</v>
      </c>
      <c r="AH22" s="59"/>
      <c r="AI22" s="59" t="str">
        <f t="shared" si="13"/>
        <v/>
      </c>
      <c r="AJ22" s="59" t="str">
        <f t="shared" si="13"/>
        <v/>
      </c>
      <c r="AK22" s="59">
        <f t="shared" si="13"/>
        <v>11572</v>
      </c>
      <c r="AL22" s="59" t="str">
        <f t="shared" si="13"/>
        <v/>
      </c>
      <c r="AM22" s="59" t="str">
        <f t="shared" si="13"/>
        <v/>
      </c>
      <c r="AN22" s="59" t="str">
        <f t="shared" si="13"/>
        <v/>
      </c>
      <c r="AO22" s="59">
        <f t="shared" si="13"/>
        <v>13024.4</v>
      </c>
      <c r="AP22" s="59" t="str">
        <f t="shared" si="13"/>
        <v/>
      </c>
      <c r="AQ22" s="59" t="str">
        <f t="shared" si="13"/>
        <v/>
      </c>
      <c r="AR22" s="59" t="str">
        <f t="shared" si="13"/>
        <v/>
      </c>
      <c r="AS22" s="59">
        <f t="shared" si="13"/>
        <v>14659.1</v>
      </c>
      <c r="AT22" s="59" t="str">
        <f t="shared" si="13"/>
        <v/>
      </c>
      <c r="AU22" s="59" t="str">
        <f t="shared" si="13"/>
        <v/>
      </c>
      <c r="AV22" s="59" t="str">
        <f t="shared" si="13"/>
        <v/>
      </c>
      <c r="AW22" s="59">
        <f>IFERROR(IFERROR(IF(OR(AW$8 = ($F22 - Current_Fiscal_Year),AND(MOD($F22-AW$9,$G22)=0,AW$9&gt;$F22)),IF(secondaryInflationYear- Current_Fiscal_Year &gt;=AW$8,ROUND($L22* $R22*$S22*((1 + AW$7)^AW$8),1),ROUND($L22* $R22*$S22*(((1+secondaryInflation)^(secondaryInflationYear-Current_Fiscal_Year)) * ((1+AW$7)^(AW$8-(secondaryInflationYear - Current_Fiscal_Year)))),1)),IF(AND($D22&lt;&gt;1,AW$8 &gt; ($F22 - Current_Fiscal_Year),(AW$8 - (($F22 - Current_Fiscal_Year)+$G22*INT(((AW$8 - ($F22 - Current_Fiscal_Year)) / $G22))))/((($D22 - $E22)/($E22-1))+1) = INT((AW$8 - (($F22 - Current_Fiscal_Year)+$G22*INT(((AW$8 - ($F22 - Current_Fiscal_Year)) / $G22))))/((($D22 - $E22)/($E22-1))+1)), (AW$8 - (($F22 - Current_Fiscal_Year)+$G22*INT(((AW$8 - ($F22 - Current_Fiscal_Year)) / $G22)))) &lt;$D22),IF(secondaryInflationYear- Current_Fiscal_Year &gt;=AW$8,ROUND($L22* $R22*$S22*((1 + AW$7)^AW$8),1),ROUND($L22* $R22*$S22*(((1+secondaryInflation)^(secondaryInflationYear-Current_Fiscal_Year)) * ((1+AW$7)^(AW$8-(secondaryInflationYear - Current_Fiscal_Year)))),1)),"")),"")*0.177664706951936,"")</f>
        <v>2931.2899999999922</v>
      </c>
      <c r="AX22" s="59"/>
      <c r="AY22" s="59" t="str">
        <f t="shared" si="13"/>
        <v/>
      </c>
      <c r="AZ22" s="59" t="str">
        <f t="shared" si="13"/>
        <v/>
      </c>
      <c r="BA22" s="59">
        <f>IFERROR(IFERROR(IF(OR(BA$8 = ($F22 - Current_Fiscal_Year),AND(MOD($F22-BA$9,$G22)=0,BA$9&gt;$F22)),IF(secondaryInflationYear- Current_Fiscal_Year &gt;=BA$8,ROUND($L22* $R22*$S22*((1 + BA$7)^BA$8),1),ROUND($L22* $R22*$S22*(((1+secondaryInflation)^(secondaryInflationYear-Current_Fiscal_Year)) * ((1+BA$7)^(BA$8-(secondaryInflationYear - Current_Fiscal_Year)))),1)),IF(AND($D22&lt;&gt;1,BA$8 &gt; ($F22 - Current_Fiscal_Year),(BA$8 - (($F22 - Current_Fiscal_Year)+$G22*INT(((BA$8 - ($F22 - Current_Fiscal_Year)) / $G22))))/((($D22 - $E22)/($E22-1))+1) = INT((BA$8 - (($F22 - Current_Fiscal_Year)+$G22*INT(((BA$8 - ($F22 - Current_Fiscal_Year)) / $G22))))/((($D22 - $E22)/($E22-1))+1)), (BA$8 - (($F22 - Current_Fiscal_Year)+$G22*INT(((BA$8 - ($F22 - Current_Fiscal_Year)) / $G22)))) &lt;$D22),IF(secondaryInflationYear- Current_Fiscal_Year &gt;=BA$8,ROUND($L22* $R22*$S22*((1 + BA$7)^BA$8),1),ROUND($L22* $R22*$S22*(((1+secondaryInflation)^(secondaryInflationYear-Current_Fiscal_Year)) * ((1+BA$7)^(BA$8-(secondaryInflationYear - Current_Fiscal_Year)))),1)),"")),"")*0.822336386694454,"")</f>
        <v>15270.540000000003</v>
      </c>
      <c r="BB22" s="59"/>
    </row>
    <row r="23" spans="1:54" ht="39.75" customHeight="1" x14ac:dyDescent="0.25">
      <c r="A23" s="7">
        <f t="shared" ca="1" si="2"/>
        <v>1</v>
      </c>
      <c r="B23" s="78">
        <v>1</v>
      </c>
      <c r="C23" s="11">
        <v>1</v>
      </c>
      <c r="D23" s="12">
        <f t="shared" si="5"/>
        <v>1</v>
      </c>
      <c r="E23" s="12">
        <v>1</v>
      </c>
      <c r="F23" s="13">
        <v>2034</v>
      </c>
      <c r="G23" s="12">
        <v>20</v>
      </c>
      <c r="H23" s="9">
        <v>0.01</v>
      </c>
      <c r="I23" s="9"/>
      <c r="J23" s="65">
        <v>4.04</v>
      </c>
      <c r="K23" s="75">
        <v>1750</v>
      </c>
      <c r="L23" s="75">
        <f t="shared" si="6"/>
        <v>1750</v>
      </c>
      <c r="M23" s="3" t="s">
        <v>219</v>
      </c>
      <c r="N23" s="3" t="s">
        <v>222</v>
      </c>
      <c r="O23" s="57">
        <f t="shared" si="7"/>
        <v>2034</v>
      </c>
      <c r="P23" s="57" t="s">
        <v>223</v>
      </c>
      <c r="Q23" s="57" t="str">
        <f t="shared" si="8"/>
        <v>9</v>
      </c>
      <c r="R23" s="69">
        <v>39</v>
      </c>
      <c r="S23" s="72">
        <v>1</v>
      </c>
      <c r="T23" s="75">
        <f t="shared" si="9"/>
        <v>68250</v>
      </c>
      <c r="U23" s="75">
        <f t="shared" si="10"/>
        <v>68250</v>
      </c>
      <c r="V23" s="75">
        <f t="shared" ca="1" si="11"/>
        <v>249886.40000000002</v>
      </c>
      <c r="W23" s="58">
        <f t="shared" ca="1" si="12"/>
        <v>3.808542956363882E-2</v>
      </c>
      <c r="X23" s="59" t="str">
        <f t="shared" si="13"/>
        <v/>
      </c>
      <c r="Y23" s="59" t="str">
        <f t="shared" si="13"/>
        <v/>
      </c>
      <c r="Z23" s="59" t="str">
        <f t="shared" si="13"/>
        <v/>
      </c>
      <c r="AA23" s="59" t="str">
        <f t="shared" si="13"/>
        <v/>
      </c>
      <c r="AB23" s="59" t="str">
        <f t="shared" si="13"/>
        <v/>
      </c>
      <c r="AC23" s="59" t="str">
        <f t="shared" si="13"/>
        <v/>
      </c>
      <c r="AD23" s="59" t="str">
        <f t="shared" si="13"/>
        <v/>
      </c>
      <c r="AE23" s="59" t="str">
        <f t="shared" si="13"/>
        <v/>
      </c>
      <c r="AF23" s="59" t="str">
        <f t="shared" si="13"/>
        <v/>
      </c>
      <c r="AG23" s="59">
        <f t="shared" si="13"/>
        <v>89050.8</v>
      </c>
      <c r="AH23" s="59" t="str">
        <f t="shared" si="13"/>
        <v/>
      </c>
      <c r="AI23" s="59" t="str">
        <f t="shared" si="13"/>
        <v/>
      </c>
      <c r="AJ23" s="59" t="str">
        <f t="shared" si="13"/>
        <v/>
      </c>
      <c r="AK23" s="59" t="str">
        <f t="shared" si="13"/>
        <v/>
      </c>
      <c r="AL23" s="59" t="str">
        <f t="shared" si="13"/>
        <v/>
      </c>
      <c r="AM23" s="59" t="str">
        <f t="shared" si="13"/>
        <v/>
      </c>
      <c r="AN23" s="59" t="str">
        <f t="shared" si="13"/>
        <v/>
      </c>
      <c r="AO23" s="59" t="str">
        <f t="shared" si="13"/>
        <v/>
      </c>
      <c r="AP23" s="59" t="str">
        <f t="shared" si="13"/>
        <v/>
      </c>
      <c r="AQ23" s="59" t="str">
        <f t="shared" si="13"/>
        <v/>
      </c>
      <c r="AR23" s="59" t="str">
        <f t="shared" si="13"/>
        <v/>
      </c>
      <c r="AS23" s="59" t="str">
        <f t="shared" si="13"/>
        <v/>
      </c>
      <c r="AT23" s="59" t="str">
        <f t="shared" si="13"/>
        <v/>
      </c>
      <c r="AU23" s="59" t="str">
        <f t="shared" si="13"/>
        <v/>
      </c>
      <c r="AV23" s="59" t="str">
        <f t="shared" si="13"/>
        <v/>
      </c>
      <c r="AW23" s="59" t="str">
        <f t="shared" si="13"/>
        <v/>
      </c>
      <c r="AX23" s="59" t="str">
        <f t="shared" si="13"/>
        <v/>
      </c>
      <c r="AY23" s="59" t="str">
        <f t="shared" si="13"/>
        <v/>
      </c>
      <c r="AZ23" s="59" t="str">
        <f t="shared" si="13"/>
        <v/>
      </c>
      <c r="BA23" s="59">
        <f t="shared" si="13"/>
        <v>160835.6</v>
      </c>
      <c r="BB23" s="59" t="str">
        <f t="shared" si="13"/>
        <v/>
      </c>
    </row>
    <row r="24" spans="1:54" ht="39.75" customHeight="1" x14ac:dyDescent="0.25">
      <c r="A24" s="7">
        <f t="shared" ca="1" si="2"/>
        <v>1</v>
      </c>
      <c r="B24" s="78">
        <v>1</v>
      </c>
      <c r="C24" s="11">
        <v>1</v>
      </c>
      <c r="D24" s="12">
        <f t="shared" si="5"/>
        <v>1</v>
      </c>
      <c r="E24" s="12">
        <v>1</v>
      </c>
      <c r="F24" s="13">
        <v>2030</v>
      </c>
      <c r="G24" s="12">
        <v>40</v>
      </c>
      <c r="H24" s="9">
        <v>0.01</v>
      </c>
      <c r="I24" s="9"/>
      <c r="J24" s="65">
        <v>4.0410000000000004</v>
      </c>
      <c r="K24" s="75">
        <v>8100</v>
      </c>
      <c r="L24" s="75">
        <f t="shared" si="6"/>
        <v>8100</v>
      </c>
      <c r="M24" s="3" t="s">
        <v>219</v>
      </c>
      <c r="N24" s="3" t="s">
        <v>224</v>
      </c>
      <c r="O24" s="57">
        <f t="shared" si="7"/>
        <v>2030</v>
      </c>
      <c r="P24" s="57" t="s">
        <v>223</v>
      </c>
      <c r="Q24" s="57" t="str">
        <f t="shared" si="8"/>
        <v>5</v>
      </c>
      <c r="R24" s="69">
        <v>18.5</v>
      </c>
      <c r="S24" s="72">
        <v>1</v>
      </c>
      <c r="T24" s="75">
        <f t="shared" si="9"/>
        <v>149850</v>
      </c>
      <c r="U24" s="75">
        <f t="shared" si="10"/>
        <v>149850</v>
      </c>
      <c r="V24" s="75">
        <f t="shared" ca="1" si="11"/>
        <v>173717.2</v>
      </c>
      <c r="W24" s="58">
        <f t="shared" ca="1" si="12"/>
        <v>2.6476407617991846E-2</v>
      </c>
      <c r="X24" s="59" t="str">
        <f t="shared" si="13"/>
        <v/>
      </c>
      <c r="Y24" s="59" t="str">
        <f t="shared" si="13"/>
        <v/>
      </c>
      <c r="Z24" s="59" t="str">
        <f t="shared" si="13"/>
        <v/>
      </c>
      <c r="AA24" s="59" t="str">
        <f t="shared" si="13"/>
        <v/>
      </c>
      <c r="AB24" s="59" t="str">
        <f t="shared" si="13"/>
        <v/>
      </c>
      <c r="AC24" s="59">
        <f t="shared" si="13"/>
        <v>173717.2</v>
      </c>
      <c r="AD24" s="59" t="str">
        <f t="shared" si="13"/>
        <v/>
      </c>
      <c r="AE24" s="59" t="str">
        <f t="shared" si="13"/>
        <v/>
      </c>
      <c r="AF24" s="59" t="str">
        <f t="shared" si="13"/>
        <v/>
      </c>
      <c r="AG24" s="59" t="str">
        <f t="shared" si="13"/>
        <v/>
      </c>
      <c r="AH24" s="59" t="str">
        <f t="shared" si="13"/>
        <v/>
      </c>
      <c r="AI24" s="59" t="str">
        <f t="shared" si="13"/>
        <v/>
      </c>
      <c r="AJ24" s="59" t="str">
        <f t="shared" si="13"/>
        <v/>
      </c>
      <c r="AK24" s="59" t="str">
        <f t="shared" si="13"/>
        <v/>
      </c>
      <c r="AL24" s="59" t="str">
        <f t="shared" si="13"/>
        <v/>
      </c>
      <c r="AM24" s="59" t="str">
        <f t="shared" si="13"/>
        <v/>
      </c>
      <c r="AN24" s="59" t="str">
        <f t="shared" si="13"/>
        <v/>
      </c>
      <c r="AO24" s="59" t="str">
        <f t="shared" si="13"/>
        <v/>
      </c>
      <c r="AP24" s="59" t="str">
        <f t="shared" si="13"/>
        <v/>
      </c>
      <c r="AQ24" s="59" t="str">
        <f t="shared" si="13"/>
        <v/>
      </c>
      <c r="AR24" s="59" t="str">
        <f t="shared" si="13"/>
        <v/>
      </c>
      <c r="AS24" s="59" t="str">
        <f t="shared" si="13"/>
        <v/>
      </c>
      <c r="AT24" s="59" t="str">
        <f t="shared" si="13"/>
        <v/>
      </c>
      <c r="AU24" s="59" t="str">
        <f t="shared" si="13"/>
        <v/>
      </c>
      <c r="AV24" s="59" t="str">
        <f t="shared" si="13"/>
        <v/>
      </c>
      <c r="AW24" s="59" t="str">
        <f t="shared" si="13"/>
        <v/>
      </c>
      <c r="AX24" s="59" t="str">
        <f t="shared" si="13"/>
        <v/>
      </c>
      <c r="AY24" s="59" t="str">
        <f t="shared" si="13"/>
        <v/>
      </c>
      <c r="AZ24" s="59" t="str">
        <f t="shared" si="13"/>
        <v/>
      </c>
      <c r="BA24" s="59" t="str">
        <f t="shared" si="13"/>
        <v/>
      </c>
      <c r="BB24" s="59" t="str">
        <f t="shared" si="13"/>
        <v/>
      </c>
    </row>
    <row r="25" spans="1:54" ht="39.75" customHeight="1" x14ac:dyDescent="0.25">
      <c r="A25" s="7">
        <f t="shared" ca="1" si="2"/>
        <v>1</v>
      </c>
      <c r="B25" s="78">
        <v>1</v>
      </c>
      <c r="C25" s="11">
        <v>1</v>
      </c>
      <c r="D25" s="12">
        <f t="shared" si="5"/>
        <v>1</v>
      </c>
      <c r="E25" s="12">
        <v>1</v>
      </c>
      <c r="F25" s="13">
        <v>2050</v>
      </c>
      <c r="G25" s="12">
        <v>40</v>
      </c>
      <c r="H25" s="9">
        <v>0.01</v>
      </c>
      <c r="I25" s="9"/>
      <c r="J25" s="65">
        <v>4.0419999999999998</v>
      </c>
      <c r="K25" s="75">
        <v>8100</v>
      </c>
      <c r="L25" s="75">
        <f t="shared" si="6"/>
        <v>8100</v>
      </c>
      <c r="M25" s="3" t="s">
        <v>219</v>
      </c>
      <c r="N25" s="3" t="s">
        <v>225</v>
      </c>
      <c r="O25" s="57">
        <f t="shared" si="7"/>
        <v>2050</v>
      </c>
      <c r="P25" s="57" t="s">
        <v>223</v>
      </c>
      <c r="Q25" s="57" t="str">
        <f t="shared" si="8"/>
        <v>25</v>
      </c>
      <c r="R25" s="69">
        <v>39</v>
      </c>
      <c r="S25" s="72">
        <v>1</v>
      </c>
      <c r="T25" s="75">
        <f t="shared" si="9"/>
        <v>315900</v>
      </c>
      <c r="U25" s="75">
        <f t="shared" si="10"/>
        <v>315900</v>
      </c>
      <c r="V25" s="75">
        <f t="shared" ca="1" si="11"/>
        <v>661424.4</v>
      </c>
      <c r="W25" s="58">
        <f t="shared" ca="1" si="12"/>
        <v>0.10080833689977553</v>
      </c>
      <c r="X25" s="59" t="str">
        <f t="shared" si="13"/>
        <v/>
      </c>
      <c r="Y25" s="59" t="str">
        <f t="shared" si="13"/>
        <v/>
      </c>
      <c r="Z25" s="59" t="str">
        <f t="shared" si="13"/>
        <v/>
      </c>
      <c r="AA25" s="59" t="str">
        <f t="shared" si="13"/>
        <v/>
      </c>
      <c r="AB25" s="59" t="str">
        <f t="shared" si="13"/>
        <v/>
      </c>
      <c r="AC25" s="59" t="str">
        <f t="shared" si="13"/>
        <v/>
      </c>
      <c r="AD25" s="59" t="str">
        <f t="shared" si="13"/>
        <v/>
      </c>
      <c r="AE25" s="59" t="str">
        <f t="shared" si="13"/>
        <v/>
      </c>
      <c r="AF25" s="59" t="str">
        <f t="shared" si="13"/>
        <v/>
      </c>
      <c r="AG25" s="59" t="str">
        <f t="shared" si="13"/>
        <v/>
      </c>
      <c r="AH25" s="59" t="str">
        <f t="shared" si="13"/>
        <v/>
      </c>
      <c r="AI25" s="59" t="str">
        <f t="shared" si="13"/>
        <v/>
      </c>
      <c r="AJ25" s="59" t="str">
        <f t="shared" si="13"/>
        <v/>
      </c>
      <c r="AK25" s="59" t="str">
        <f t="shared" si="13"/>
        <v/>
      </c>
      <c r="AL25" s="59" t="str">
        <f t="shared" si="13"/>
        <v/>
      </c>
      <c r="AM25" s="59" t="str">
        <f t="shared" si="13"/>
        <v/>
      </c>
      <c r="AN25" s="59" t="str">
        <f t="shared" si="13"/>
        <v/>
      </c>
      <c r="AO25" s="59" t="str">
        <f t="shared" si="13"/>
        <v/>
      </c>
      <c r="AP25" s="59" t="str">
        <f t="shared" si="13"/>
        <v/>
      </c>
      <c r="AQ25" s="59" t="str">
        <f t="shared" si="13"/>
        <v/>
      </c>
      <c r="AR25" s="59" t="str">
        <f t="shared" si="13"/>
        <v/>
      </c>
      <c r="AS25" s="59" t="str">
        <f t="shared" si="13"/>
        <v/>
      </c>
      <c r="AT25" s="59" t="str">
        <f t="shared" si="13"/>
        <v/>
      </c>
      <c r="AU25" s="59" t="str">
        <f t="shared" si="13"/>
        <v/>
      </c>
      <c r="AV25" s="59" t="str">
        <f t="shared" si="13"/>
        <v/>
      </c>
      <c r="AW25" s="59">
        <f t="shared" si="13"/>
        <v>661424.4</v>
      </c>
      <c r="AX25" s="59" t="str">
        <f t="shared" si="13"/>
        <v/>
      </c>
      <c r="AY25" s="59" t="str">
        <f t="shared" si="13"/>
        <v/>
      </c>
      <c r="AZ25" s="59" t="str">
        <f t="shared" si="13"/>
        <v/>
      </c>
      <c r="BA25" s="59" t="str">
        <f t="shared" si="13"/>
        <v/>
      </c>
      <c r="BB25" s="59" t="str">
        <f t="shared" si="13"/>
        <v/>
      </c>
    </row>
    <row r="26" spans="1:54" ht="39.75" customHeight="1" x14ac:dyDescent="0.25">
      <c r="A26" s="7">
        <f t="shared" ca="1" si="2"/>
        <v>0</v>
      </c>
      <c r="B26" s="78">
        <v>1</v>
      </c>
      <c r="C26" s="11">
        <v>1</v>
      </c>
      <c r="D26" s="12">
        <f t="shared" si="5"/>
        <v>1</v>
      </c>
      <c r="E26" s="12">
        <v>1</v>
      </c>
      <c r="F26" s="13">
        <v>2030</v>
      </c>
      <c r="G26" s="12">
        <v>40</v>
      </c>
      <c r="H26" s="9">
        <v>0.01</v>
      </c>
      <c r="I26" s="9"/>
      <c r="J26" s="65">
        <v>4.0999999999999996</v>
      </c>
      <c r="K26" s="75">
        <v>18</v>
      </c>
      <c r="L26" s="75">
        <f t="shared" si="6"/>
        <v>18</v>
      </c>
      <c r="M26" s="3" t="s">
        <v>202</v>
      </c>
      <c r="N26" s="3" t="s">
        <v>226</v>
      </c>
      <c r="O26" s="57">
        <f t="shared" si="7"/>
        <v>2030</v>
      </c>
      <c r="P26" s="57" t="s">
        <v>223</v>
      </c>
      <c r="Q26" s="57" t="str">
        <f t="shared" si="8"/>
        <v>5</v>
      </c>
      <c r="R26" s="69">
        <v>1100</v>
      </c>
      <c r="S26" s="72">
        <v>1</v>
      </c>
      <c r="T26" s="75">
        <f t="shared" si="9"/>
        <v>19800</v>
      </c>
      <c r="U26" s="75">
        <f t="shared" si="10"/>
        <v>19800</v>
      </c>
      <c r="V26" s="75">
        <f t="shared" ca="1" si="11"/>
        <v>22953.599999999999</v>
      </c>
      <c r="W26" s="58">
        <f t="shared" ca="1" si="12"/>
        <v>3.4983805282397919E-3</v>
      </c>
      <c r="X26" s="59" t="str">
        <f t="shared" si="13"/>
        <v/>
      </c>
      <c r="Y26" s="59" t="str">
        <f t="shared" si="13"/>
        <v/>
      </c>
      <c r="Z26" s="59" t="str">
        <f t="shared" si="13"/>
        <v/>
      </c>
      <c r="AA26" s="59" t="str">
        <f t="shared" si="13"/>
        <v/>
      </c>
      <c r="AB26" s="59" t="str">
        <f t="shared" si="13"/>
        <v/>
      </c>
      <c r="AC26" s="59">
        <f t="shared" si="13"/>
        <v>22953.599999999999</v>
      </c>
      <c r="AD26" s="59" t="str">
        <f t="shared" si="13"/>
        <v/>
      </c>
      <c r="AE26" s="59" t="str">
        <f t="shared" si="13"/>
        <v/>
      </c>
      <c r="AF26" s="59" t="str">
        <f t="shared" si="13"/>
        <v/>
      </c>
      <c r="AG26" s="59" t="str">
        <f t="shared" si="13"/>
        <v/>
      </c>
      <c r="AH26" s="59" t="str">
        <f t="shared" si="13"/>
        <v/>
      </c>
      <c r="AI26" s="59" t="str">
        <f t="shared" si="13"/>
        <v/>
      </c>
      <c r="AJ26" s="59" t="str">
        <f t="shared" si="13"/>
        <v/>
      </c>
      <c r="AK26" s="59" t="str">
        <f t="shared" si="13"/>
        <v/>
      </c>
      <c r="AL26" s="59" t="str">
        <f t="shared" si="13"/>
        <v/>
      </c>
      <c r="AM26" s="59" t="str">
        <f t="shared" si="13"/>
        <v/>
      </c>
      <c r="AN26" s="59" t="str">
        <f t="shared" si="13"/>
        <v/>
      </c>
      <c r="AO26" s="59" t="str">
        <f t="shared" si="13"/>
        <v/>
      </c>
      <c r="AP26" s="59" t="str">
        <f t="shared" si="13"/>
        <v/>
      </c>
      <c r="AQ26" s="59" t="str">
        <f t="shared" si="13"/>
        <v/>
      </c>
      <c r="AR26" s="59" t="str">
        <f t="shared" si="13"/>
        <v/>
      </c>
      <c r="AS26" s="59" t="str">
        <f t="shared" si="13"/>
        <v/>
      </c>
      <c r="AT26" s="59" t="str">
        <f t="shared" si="13"/>
        <v/>
      </c>
      <c r="AU26" s="59" t="str">
        <f t="shared" si="13"/>
        <v/>
      </c>
      <c r="AV26" s="59" t="str">
        <f t="shared" si="13"/>
        <v/>
      </c>
      <c r="AW26" s="59" t="str">
        <f t="shared" si="13"/>
        <v/>
      </c>
      <c r="AX26" s="59" t="str">
        <f t="shared" si="13"/>
        <v/>
      </c>
      <c r="AY26" s="59" t="str">
        <f t="shared" si="13"/>
        <v/>
      </c>
      <c r="AZ26" s="59" t="str">
        <f t="shared" si="13"/>
        <v/>
      </c>
      <c r="BA26" s="59" t="str">
        <f t="shared" si="13"/>
        <v/>
      </c>
      <c r="BB26" s="59" t="str">
        <f t="shared" si="13"/>
        <v/>
      </c>
    </row>
    <row r="27" spans="1:54" ht="39.75" customHeight="1" x14ac:dyDescent="0.25">
      <c r="A27" s="7">
        <f t="shared" ca="1" si="2"/>
        <v>0</v>
      </c>
      <c r="B27" s="78">
        <v>1</v>
      </c>
      <c r="C27" s="11">
        <v>1</v>
      </c>
      <c r="D27" s="12">
        <f t="shared" si="5"/>
        <v>1</v>
      </c>
      <c r="E27" s="12">
        <v>1</v>
      </c>
      <c r="F27" s="13">
        <v>2030</v>
      </c>
      <c r="G27" s="12">
        <v>8</v>
      </c>
      <c r="H27" s="9">
        <v>0.01</v>
      </c>
      <c r="I27" s="9"/>
      <c r="J27" s="65">
        <v>4.1100000000000003</v>
      </c>
      <c r="K27" s="75">
        <v>4700</v>
      </c>
      <c r="L27" s="75">
        <f t="shared" si="6"/>
        <v>4700</v>
      </c>
      <c r="M27" s="3" t="s">
        <v>205</v>
      </c>
      <c r="N27" s="3" t="s">
        <v>227</v>
      </c>
      <c r="O27" s="57">
        <f t="shared" si="7"/>
        <v>2030</v>
      </c>
      <c r="P27" s="57" t="s">
        <v>228</v>
      </c>
      <c r="Q27" s="57" t="str">
        <f t="shared" si="8"/>
        <v>5</v>
      </c>
      <c r="R27" s="69">
        <v>1.5</v>
      </c>
      <c r="S27" s="72">
        <v>1</v>
      </c>
      <c r="T27" s="75">
        <f t="shared" si="9"/>
        <v>7050</v>
      </c>
      <c r="U27" s="75">
        <f t="shared" si="10"/>
        <v>7050</v>
      </c>
      <c r="V27" s="75">
        <f t="shared" ca="1" si="11"/>
        <v>48255</v>
      </c>
      <c r="W27" s="58">
        <f t="shared" ca="1" si="12"/>
        <v>7.35459154076969E-3</v>
      </c>
      <c r="X27" s="59" t="str">
        <f t="shared" si="13"/>
        <v/>
      </c>
      <c r="Y27" s="59" t="str">
        <f t="shared" si="13"/>
        <v/>
      </c>
      <c r="Z27" s="59" t="str">
        <f t="shared" si="13"/>
        <v/>
      </c>
      <c r="AA27" s="59" t="str">
        <f t="shared" si="13"/>
        <v/>
      </c>
      <c r="AB27" s="59" t="str">
        <f t="shared" si="13"/>
        <v/>
      </c>
      <c r="AC27" s="59">
        <f t="shared" si="13"/>
        <v>8172.9</v>
      </c>
      <c r="AD27" s="59" t="str">
        <f t="shared" si="13"/>
        <v/>
      </c>
      <c r="AE27" s="59" t="str">
        <f t="shared" si="13"/>
        <v/>
      </c>
      <c r="AF27" s="59" t="str">
        <f t="shared" si="13"/>
        <v/>
      </c>
      <c r="AG27" s="59" t="str">
        <f t="shared" si="13"/>
        <v/>
      </c>
      <c r="AH27" s="59" t="str">
        <f t="shared" si="13"/>
        <v/>
      </c>
      <c r="AI27" s="59" t="str">
        <f t="shared" si="13"/>
        <v/>
      </c>
      <c r="AJ27" s="59" t="str">
        <f t="shared" si="13"/>
        <v/>
      </c>
      <c r="AK27" s="59">
        <f t="shared" si="13"/>
        <v>10353.200000000001</v>
      </c>
      <c r="AL27" s="59" t="str">
        <f t="shared" si="13"/>
        <v/>
      </c>
      <c r="AM27" s="59" t="str">
        <f t="shared" si="13"/>
        <v/>
      </c>
      <c r="AN27" s="59" t="str">
        <f t="shared" si="13"/>
        <v/>
      </c>
      <c r="AO27" s="59" t="str">
        <f t="shared" si="13"/>
        <v/>
      </c>
      <c r="AP27" s="59" t="str">
        <f t="shared" si="13"/>
        <v/>
      </c>
      <c r="AQ27" s="59" t="str">
        <f t="shared" si="13"/>
        <v/>
      </c>
      <c r="AR27" s="59" t="str">
        <f t="shared" si="13"/>
        <v/>
      </c>
      <c r="AS27" s="59">
        <f t="shared" si="13"/>
        <v>13115.1</v>
      </c>
      <c r="AT27" s="59" t="str">
        <f t="shared" si="13"/>
        <v/>
      </c>
      <c r="AU27" s="59" t="str">
        <f t="shared" si="13"/>
        <v/>
      </c>
      <c r="AV27" s="59" t="str">
        <f t="shared" si="13"/>
        <v/>
      </c>
      <c r="AW27" s="59" t="str">
        <f t="shared" si="13"/>
        <v/>
      </c>
      <c r="AX27" s="59" t="str">
        <f t="shared" si="13"/>
        <v/>
      </c>
      <c r="AY27" s="59" t="str">
        <f t="shared" si="13"/>
        <v/>
      </c>
      <c r="AZ27" s="59" t="str">
        <f t="shared" si="13"/>
        <v/>
      </c>
      <c r="BA27" s="59">
        <f t="shared" si="13"/>
        <v>16613.8</v>
      </c>
      <c r="BB27" s="59" t="str">
        <f t="shared" si="13"/>
        <v/>
      </c>
    </row>
    <row r="28" spans="1:54" ht="39.75" customHeight="1" x14ac:dyDescent="0.25">
      <c r="A28" s="7">
        <f t="shared" ca="1" si="2"/>
        <v>0</v>
      </c>
      <c r="B28" s="78">
        <v>1</v>
      </c>
      <c r="C28" s="11">
        <v>1</v>
      </c>
      <c r="D28" s="12">
        <f t="shared" si="5"/>
        <v>1</v>
      </c>
      <c r="E28" s="12">
        <v>1</v>
      </c>
      <c r="F28" s="13">
        <v>2032</v>
      </c>
      <c r="G28" s="12">
        <v>24</v>
      </c>
      <c r="H28" s="9">
        <v>0.01</v>
      </c>
      <c r="I28" s="9"/>
      <c r="J28" s="65">
        <v>4.26</v>
      </c>
      <c r="K28" s="75">
        <v>610</v>
      </c>
      <c r="L28" s="75">
        <f t="shared" si="6"/>
        <v>610</v>
      </c>
      <c r="M28" s="3" t="s">
        <v>205</v>
      </c>
      <c r="N28" s="3" t="s">
        <v>229</v>
      </c>
      <c r="O28" s="57">
        <f t="shared" si="7"/>
        <v>2032</v>
      </c>
      <c r="P28" s="57" t="s">
        <v>207</v>
      </c>
      <c r="Q28" s="57" t="str">
        <f t="shared" si="8"/>
        <v>7</v>
      </c>
      <c r="R28" s="69">
        <v>51</v>
      </c>
      <c r="S28" s="72">
        <v>1</v>
      </c>
      <c r="T28" s="75">
        <f t="shared" si="9"/>
        <v>31110</v>
      </c>
      <c r="U28" s="75">
        <f t="shared" si="10"/>
        <v>31110</v>
      </c>
      <c r="V28" s="75">
        <f t="shared" ca="1" si="11"/>
        <v>38261.4</v>
      </c>
      <c r="W28" s="58">
        <f t="shared" ca="1" si="12"/>
        <v>5.8314572329915123E-3</v>
      </c>
      <c r="X28" s="59" t="str">
        <f t="shared" si="13"/>
        <v/>
      </c>
      <c r="Y28" s="59" t="str">
        <f t="shared" si="13"/>
        <v/>
      </c>
      <c r="Z28" s="59" t="str">
        <f t="shared" si="13"/>
        <v/>
      </c>
      <c r="AA28" s="59" t="str">
        <f t="shared" si="13"/>
        <v/>
      </c>
      <c r="AB28" s="59" t="str">
        <f t="shared" si="13"/>
        <v/>
      </c>
      <c r="AC28" s="59" t="str">
        <f t="shared" si="13"/>
        <v/>
      </c>
      <c r="AD28" s="59" t="str">
        <f t="shared" si="13"/>
        <v/>
      </c>
      <c r="AE28" s="59">
        <f t="shared" si="13"/>
        <v>38261.4</v>
      </c>
      <c r="AF28" s="59" t="str">
        <f t="shared" si="13"/>
        <v/>
      </c>
      <c r="AG28" s="59" t="str">
        <f t="shared" si="13"/>
        <v/>
      </c>
      <c r="AH28" s="59" t="str">
        <f t="shared" si="13"/>
        <v/>
      </c>
      <c r="AI28" s="59" t="str">
        <f t="shared" si="13"/>
        <v/>
      </c>
      <c r="AJ28" s="59" t="str">
        <f t="shared" si="13"/>
        <v/>
      </c>
      <c r="AK28" s="59" t="str">
        <f t="shared" si="13"/>
        <v/>
      </c>
      <c r="AL28" s="59" t="str">
        <f t="shared" si="13"/>
        <v/>
      </c>
      <c r="AM28" s="59" t="str">
        <f t="shared" si="13"/>
        <v/>
      </c>
      <c r="AN28" s="59" t="str">
        <f t="shared" si="13"/>
        <v/>
      </c>
      <c r="AO28" s="59" t="str">
        <f t="shared" si="13"/>
        <v/>
      </c>
      <c r="AP28" s="59" t="str">
        <f t="shared" si="13"/>
        <v/>
      </c>
      <c r="AQ28" s="59" t="str">
        <f t="shared" si="13"/>
        <v/>
      </c>
      <c r="AR28" s="59" t="str">
        <f t="shared" si="13"/>
        <v/>
      </c>
      <c r="AS28" s="59" t="str">
        <f t="shared" si="13"/>
        <v/>
      </c>
      <c r="AT28" s="59" t="str">
        <f t="shared" si="13"/>
        <v/>
      </c>
      <c r="AU28" s="59" t="str">
        <f t="shared" si="13"/>
        <v/>
      </c>
      <c r="AV28" s="59" t="str">
        <f t="shared" si="13"/>
        <v/>
      </c>
      <c r="AW28" s="59" t="str">
        <f t="shared" si="13"/>
        <v/>
      </c>
      <c r="AX28" s="59" t="str">
        <f t="shared" si="13"/>
        <v/>
      </c>
      <c r="AY28" s="59" t="str">
        <f t="shared" si="13"/>
        <v/>
      </c>
      <c r="AZ28" s="59" t="str">
        <f t="shared" si="13"/>
        <v/>
      </c>
      <c r="BA28" s="59" t="str">
        <f t="shared" si="13"/>
        <v/>
      </c>
      <c r="BB28" s="59" t="str">
        <f t="shared" si="13"/>
        <v/>
      </c>
    </row>
    <row r="29" spans="1:54" ht="39.75" customHeight="1" x14ac:dyDescent="0.25">
      <c r="A29" s="7">
        <f t="shared" ca="1" si="2"/>
        <v>1</v>
      </c>
      <c r="B29" s="78">
        <v>1</v>
      </c>
      <c r="C29" s="11">
        <v>1</v>
      </c>
      <c r="D29" s="12">
        <f t="shared" si="5"/>
        <v>1</v>
      </c>
      <c r="E29" s="12">
        <v>1</v>
      </c>
      <c r="F29" s="13">
        <v>2029</v>
      </c>
      <c r="G29" s="12">
        <v>25</v>
      </c>
      <c r="H29" s="9">
        <v>0.01</v>
      </c>
      <c r="I29" s="9"/>
      <c r="J29" s="65">
        <v>4.3600000000000003</v>
      </c>
      <c r="K29" s="75">
        <v>1</v>
      </c>
      <c r="L29" s="75">
        <f t="shared" si="6"/>
        <v>1</v>
      </c>
      <c r="M29" s="3" t="s">
        <v>202</v>
      </c>
      <c r="N29" s="3" t="s">
        <v>230</v>
      </c>
      <c r="O29" s="57">
        <f t="shared" si="7"/>
        <v>2029</v>
      </c>
      <c r="P29" s="57" t="s">
        <v>217</v>
      </c>
      <c r="Q29" s="57" t="str">
        <f t="shared" si="8"/>
        <v>4</v>
      </c>
      <c r="R29" s="69">
        <v>9500</v>
      </c>
      <c r="S29" s="72">
        <v>1</v>
      </c>
      <c r="T29" s="75">
        <f t="shared" si="9"/>
        <v>9500</v>
      </c>
      <c r="U29" s="75">
        <f t="shared" si="10"/>
        <v>9500</v>
      </c>
      <c r="V29" s="75">
        <f t="shared" ca="1" si="11"/>
        <v>33079.699999999997</v>
      </c>
      <c r="W29" s="58">
        <f t="shared" ca="1" si="12"/>
        <v>5.0417092900466084E-3</v>
      </c>
      <c r="X29" s="59" t="str">
        <f t="shared" si="13"/>
        <v/>
      </c>
      <c r="Y29" s="59" t="str">
        <f t="shared" si="13"/>
        <v/>
      </c>
      <c r="Z29" s="59" t="str">
        <f t="shared" si="13"/>
        <v/>
      </c>
      <c r="AA29" s="59" t="str">
        <f t="shared" si="13"/>
        <v/>
      </c>
      <c r="AB29" s="59">
        <f t="shared" si="13"/>
        <v>10692.3</v>
      </c>
      <c r="AC29" s="59" t="str">
        <f t="shared" si="13"/>
        <v/>
      </c>
      <c r="AD29" s="59" t="str">
        <f t="shared" si="13"/>
        <v/>
      </c>
      <c r="AE29" s="59" t="str">
        <f t="shared" si="13"/>
        <v/>
      </c>
      <c r="AF29" s="59" t="str">
        <f t="shared" si="13"/>
        <v/>
      </c>
      <c r="AG29" s="59" t="str">
        <f t="shared" si="13"/>
        <v/>
      </c>
      <c r="AH29" s="59" t="str">
        <f t="shared" si="13"/>
        <v/>
      </c>
      <c r="AI29" s="59" t="str">
        <f t="shared" si="13"/>
        <v/>
      </c>
      <c r="AJ29" s="59" t="str">
        <f t="shared" si="13"/>
        <v/>
      </c>
      <c r="AK29" s="59" t="str">
        <f t="shared" si="13"/>
        <v/>
      </c>
      <c r="AL29" s="59" t="str">
        <f t="shared" si="13"/>
        <v/>
      </c>
      <c r="AM29" s="59" t="str">
        <f t="shared" si="13"/>
        <v/>
      </c>
      <c r="AN29" s="59" t="str">
        <f t="shared" si="13"/>
        <v/>
      </c>
      <c r="AO29" s="59" t="str">
        <f t="shared" si="13"/>
        <v/>
      </c>
      <c r="AP29" s="59" t="str">
        <f t="shared" si="13"/>
        <v/>
      </c>
      <c r="AQ29" s="59" t="str">
        <f t="shared" si="13"/>
        <v/>
      </c>
      <c r="AR29" s="59" t="str">
        <f t="shared" si="13"/>
        <v/>
      </c>
      <c r="AS29" s="59" t="str">
        <f t="shared" si="13"/>
        <v/>
      </c>
      <c r="AT29" s="59" t="str">
        <f t="shared" si="13"/>
        <v/>
      </c>
      <c r="AU29" s="59" t="str">
        <f t="shared" si="13"/>
        <v/>
      </c>
      <c r="AV29" s="59" t="str">
        <f t="shared" si="13"/>
        <v/>
      </c>
      <c r="AW29" s="59" t="str">
        <f t="shared" si="13"/>
        <v/>
      </c>
      <c r="AX29" s="59" t="str">
        <f t="shared" si="13"/>
        <v/>
      </c>
      <c r="AY29" s="59" t="str">
        <f t="shared" si="13"/>
        <v/>
      </c>
      <c r="AZ29" s="59" t="str">
        <f t="shared" si="13"/>
        <v/>
      </c>
      <c r="BA29" s="59">
        <f t="shared" si="13"/>
        <v>22387.4</v>
      </c>
      <c r="BB29" s="59" t="str">
        <f t="shared" si="13"/>
        <v/>
      </c>
    </row>
    <row r="30" spans="1:54" ht="39.75" customHeight="1" x14ac:dyDescent="0.25">
      <c r="A30" s="7">
        <f t="shared" ca="1" si="2"/>
        <v>1</v>
      </c>
      <c r="B30" s="78">
        <v>1</v>
      </c>
      <c r="C30" s="11">
        <v>1</v>
      </c>
      <c r="D30" s="12">
        <f t="shared" si="5"/>
        <v>1</v>
      </c>
      <c r="E30" s="12">
        <v>1</v>
      </c>
      <c r="F30" s="13">
        <v>2027</v>
      </c>
      <c r="G30" s="12">
        <v>20</v>
      </c>
      <c r="H30" s="9">
        <v>0.01</v>
      </c>
      <c r="I30" s="9"/>
      <c r="J30" s="65">
        <v>4.41</v>
      </c>
      <c r="K30" s="75">
        <v>2</v>
      </c>
      <c r="L30" s="75">
        <f t="shared" si="6"/>
        <v>2</v>
      </c>
      <c r="M30" s="3" t="s">
        <v>202</v>
      </c>
      <c r="N30" s="3" t="s">
        <v>231</v>
      </c>
      <c r="O30" s="57">
        <f t="shared" si="7"/>
        <v>2027</v>
      </c>
      <c r="P30" s="57" t="s">
        <v>232</v>
      </c>
      <c r="Q30" s="57" t="str">
        <f t="shared" si="8"/>
        <v>2</v>
      </c>
      <c r="R30" s="69">
        <v>9800</v>
      </c>
      <c r="S30" s="72">
        <v>1</v>
      </c>
      <c r="T30" s="75">
        <f t="shared" si="9"/>
        <v>19600</v>
      </c>
      <c r="U30" s="75">
        <f t="shared" si="10"/>
        <v>19600</v>
      </c>
      <c r="V30" s="75">
        <f t="shared" ca="1" si="11"/>
        <v>58349.2</v>
      </c>
      <c r="W30" s="58">
        <f t="shared" ca="1" si="12"/>
        <v>8.8930583925122542E-3</v>
      </c>
      <c r="X30" s="59" t="str">
        <f t="shared" si="13"/>
        <v/>
      </c>
      <c r="Y30" s="59" t="str">
        <f t="shared" si="13"/>
        <v/>
      </c>
      <c r="Z30" s="59">
        <f t="shared" si="13"/>
        <v>20793.599999999999</v>
      </c>
      <c r="AA30" s="59" t="str">
        <f t="shared" si="13"/>
        <v/>
      </c>
      <c r="AB30" s="59" t="str">
        <f t="shared" si="13"/>
        <v/>
      </c>
      <c r="AC30" s="59" t="str">
        <f t="shared" si="13"/>
        <v/>
      </c>
      <c r="AD30" s="59" t="str">
        <f t="shared" si="13"/>
        <v/>
      </c>
      <c r="AE30" s="59" t="str">
        <f t="shared" si="13"/>
        <v/>
      </c>
      <c r="AF30" s="59" t="str">
        <f t="shared" si="13"/>
        <v/>
      </c>
      <c r="AG30" s="59" t="str">
        <f t="shared" si="13"/>
        <v/>
      </c>
      <c r="AH30" s="59" t="str">
        <f t="shared" si="13"/>
        <v/>
      </c>
      <c r="AI30" s="59" t="str">
        <f t="shared" si="13"/>
        <v/>
      </c>
      <c r="AJ30" s="59" t="str">
        <f t="shared" si="13"/>
        <v/>
      </c>
      <c r="AK30" s="59" t="str">
        <f t="shared" si="13"/>
        <v/>
      </c>
      <c r="AL30" s="59" t="str">
        <f t="shared" si="13"/>
        <v/>
      </c>
      <c r="AM30" s="59" t="str">
        <f t="shared" ref="AM30:BB30" si="14">IFERROR(IF(OR(AM$8 = ($F30 - Current_Fiscal_Year),AND(MOD($F30-AM$9,$G30)=0,AM$9&gt;$F30)),IF(secondaryInflationYear- Current_Fiscal_Year &gt;=AM$8,ROUND($L30* $R30*$S30*((1 + AM$7)^AM$8),1),ROUND($L30* $R30*$S30*(((1+secondaryInflation)^(secondaryInflationYear-Current_Fiscal_Year)) * ((1+AM$7)^(AM$8-(secondaryInflationYear - Current_Fiscal_Year)))),1)),IF(AND($D30&lt;&gt;1,AM$8 &gt; ($F30 - Current_Fiscal_Year),(AM$8 - (($F30 - Current_Fiscal_Year)+$G30*INT(((AM$8 - ($F30 - Current_Fiscal_Year)) / $G30))))/((($D30 - $E30)/($E30-1))+1) = INT((AM$8 - (($F30 - Current_Fiscal_Year)+$G30*INT(((AM$8 - ($F30 - Current_Fiscal_Year)) / $G30))))/((($D30 - $E30)/($E30-1))+1)), (AM$8 - (($F30 - Current_Fiscal_Year)+$G30*INT(((AM$8 - ($F30 - Current_Fiscal_Year)) / $G30)))) &lt;$D30),IF(secondaryInflationYear- Current_Fiscal_Year &gt;=AM$8,ROUND($L30* $R30*$S30*((1 + AM$7)^AM$8),1),ROUND($L30* $R30*$S30*(((1+secondaryInflation)^(secondaryInflationYear-Current_Fiscal_Year)) * ((1+AM$7)^(AM$8-(secondaryInflationYear - Current_Fiscal_Year)))),1)),"")),"")</f>
        <v/>
      </c>
      <c r="AN30" s="59" t="str">
        <f t="shared" si="14"/>
        <v/>
      </c>
      <c r="AO30" s="59" t="str">
        <f t="shared" si="14"/>
        <v/>
      </c>
      <c r="AP30" s="59" t="str">
        <f t="shared" si="14"/>
        <v/>
      </c>
      <c r="AQ30" s="59" t="str">
        <f t="shared" si="14"/>
        <v/>
      </c>
      <c r="AR30" s="59" t="str">
        <f t="shared" si="14"/>
        <v/>
      </c>
      <c r="AS30" s="59" t="str">
        <f t="shared" si="14"/>
        <v/>
      </c>
      <c r="AT30" s="59">
        <f t="shared" si="14"/>
        <v>37555.599999999999</v>
      </c>
      <c r="AU30" s="59" t="str">
        <f t="shared" si="14"/>
        <v/>
      </c>
      <c r="AV30" s="59" t="str">
        <f t="shared" si="14"/>
        <v/>
      </c>
      <c r="AW30" s="59" t="str">
        <f t="shared" si="14"/>
        <v/>
      </c>
      <c r="AX30" s="59" t="str">
        <f t="shared" si="14"/>
        <v/>
      </c>
      <c r="AY30" s="59" t="str">
        <f t="shared" si="14"/>
        <v/>
      </c>
      <c r="AZ30" s="59" t="str">
        <f t="shared" si="14"/>
        <v/>
      </c>
      <c r="BA30" s="59" t="str">
        <f t="shared" si="14"/>
        <v/>
      </c>
      <c r="BB30" s="59" t="str">
        <f t="shared" si="14"/>
        <v/>
      </c>
    </row>
    <row r="31" spans="1:54" ht="39.75" customHeight="1" x14ac:dyDescent="0.25">
      <c r="A31" s="7">
        <f t="shared" ca="1" si="2"/>
        <v>1</v>
      </c>
      <c r="B31" s="78">
        <v>1</v>
      </c>
      <c r="C31" s="11">
        <v>1</v>
      </c>
      <c r="D31" s="12">
        <f t="shared" si="5"/>
        <v>2</v>
      </c>
      <c r="E31" s="12">
        <v>2</v>
      </c>
      <c r="F31" s="13">
        <v>2041</v>
      </c>
      <c r="G31" s="12">
        <v>40</v>
      </c>
      <c r="H31" s="9">
        <v>0.01</v>
      </c>
      <c r="I31" s="9"/>
      <c r="J31" s="65">
        <v>4.42</v>
      </c>
      <c r="K31" s="75">
        <v>2</v>
      </c>
      <c r="L31" s="75">
        <f t="shared" si="6"/>
        <v>1</v>
      </c>
      <c r="M31" s="3" t="s">
        <v>215</v>
      </c>
      <c r="N31" s="3" t="s">
        <v>233</v>
      </c>
      <c r="O31" s="57">
        <f t="shared" si="7"/>
        <v>2041</v>
      </c>
      <c r="P31" s="57" t="s">
        <v>234</v>
      </c>
      <c r="Q31" s="57" t="str">
        <f t="shared" si="8"/>
        <v>16 to 17</v>
      </c>
      <c r="R31" s="69">
        <v>220000</v>
      </c>
      <c r="S31" s="72">
        <v>1</v>
      </c>
      <c r="T31" s="75">
        <f t="shared" si="9"/>
        <v>220000</v>
      </c>
      <c r="U31" s="75">
        <f t="shared" si="10"/>
        <v>440000</v>
      </c>
      <c r="V31" s="75">
        <f t="shared" ca="1" si="11"/>
        <v>716661.9</v>
      </c>
      <c r="W31" s="58">
        <f t="shared" ca="1" si="12"/>
        <v>0.10922713806511106</v>
      </c>
      <c r="X31" s="59" t="str">
        <f t="shared" ref="X31:BB39" si="15">IFERROR(IF(OR(X$8 = ($F31 - Current_Fiscal_Year),AND(MOD($F31-X$9,$G31)=0,X$9&gt;$F31)),IF(secondaryInflationYear- Current_Fiscal_Year &gt;=X$8,ROUND($L31* $R31*$S31*((1 + X$7)^X$8),1),ROUND($L31* $R31*$S31*(((1+secondaryInflation)^(secondaryInflationYear-Current_Fiscal_Year)) * ((1+X$7)^(X$8-(secondaryInflationYear - Current_Fiscal_Year)))),1)),IF(AND($D31&lt;&gt;1,X$8 &gt; ($F31 - Current_Fiscal_Year),(X$8 - (($F31 - Current_Fiscal_Year)+$G31*INT(((X$8 - ($F31 - Current_Fiscal_Year)) / $G31))))/((($D31 - $E31)/($E31-1))+1) = INT((X$8 - (($F31 - Current_Fiscal_Year)+$G31*INT(((X$8 - ($F31 - Current_Fiscal_Year)) / $G31))))/((($D31 - $E31)/($E31-1))+1)), (X$8 - (($F31 - Current_Fiscal_Year)+$G31*INT(((X$8 - ($F31 - Current_Fiscal_Year)) / $G31)))) &lt;$D31),IF(secondaryInflationYear- Current_Fiscal_Year &gt;=X$8,ROUND($L31* $R31*$S31*((1 + X$7)^X$8),1),ROUND($L31* $R31*$S31*(((1+secondaryInflation)^(secondaryInflationYear-Current_Fiscal_Year)) * ((1+X$7)^(X$8-(secondaryInflationYear - Current_Fiscal_Year)))),1)),"")),"")</f>
        <v/>
      </c>
      <c r="Y31" s="59" t="str">
        <f t="shared" si="15"/>
        <v/>
      </c>
      <c r="Z31" s="59" t="str">
        <f t="shared" si="15"/>
        <v/>
      </c>
      <c r="AA31" s="59" t="str">
        <f t="shared" si="15"/>
        <v/>
      </c>
      <c r="AB31" s="59" t="str">
        <f t="shared" si="15"/>
        <v/>
      </c>
      <c r="AC31" s="59" t="str">
        <f t="shared" si="15"/>
        <v/>
      </c>
      <c r="AD31" s="59" t="str">
        <f t="shared" si="15"/>
        <v/>
      </c>
      <c r="AE31" s="59" t="str">
        <f t="shared" si="15"/>
        <v/>
      </c>
      <c r="AF31" s="59" t="str">
        <f t="shared" si="15"/>
        <v/>
      </c>
      <c r="AG31" s="59" t="str">
        <f t="shared" si="15"/>
        <v/>
      </c>
      <c r="AH31" s="59" t="str">
        <f t="shared" si="15"/>
        <v/>
      </c>
      <c r="AI31" s="59" t="str">
        <f t="shared" si="15"/>
        <v/>
      </c>
      <c r="AJ31" s="59" t="str">
        <f t="shared" si="15"/>
        <v/>
      </c>
      <c r="AK31" s="59" t="str">
        <f t="shared" si="15"/>
        <v/>
      </c>
      <c r="AL31" s="59" t="str">
        <f t="shared" si="15"/>
        <v/>
      </c>
      <c r="AM31" s="59" t="str">
        <f t="shared" si="15"/>
        <v/>
      </c>
      <c r="AN31" s="59">
        <f t="shared" si="15"/>
        <v>353035.4</v>
      </c>
      <c r="AO31" s="59">
        <f t="shared" si="15"/>
        <v>363626.5</v>
      </c>
      <c r="AP31" s="59" t="str">
        <f t="shared" si="15"/>
        <v/>
      </c>
      <c r="AQ31" s="59" t="str">
        <f t="shared" si="15"/>
        <v/>
      </c>
      <c r="AR31" s="59" t="str">
        <f t="shared" si="15"/>
        <v/>
      </c>
      <c r="AS31" s="59" t="str">
        <f t="shared" si="15"/>
        <v/>
      </c>
      <c r="AT31" s="59" t="str">
        <f t="shared" si="15"/>
        <v/>
      </c>
      <c r="AU31" s="59" t="str">
        <f t="shared" si="15"/>
        <v/>
      </c>
      <c r="AV31" s="59" t="str">
        <f t="shared" si="15"/>
        <v/>
      </c>
      <c r="AW31" s="59" t="str">
        <f t="shared" si="15"/>
        <v/>
      </c>
      <c r="AX31" s="59" t="str">
        <f t="shared" si="15"/>
        <v/>
      </c>
      <c r="AY31" s="59" t="str">
        <f t="shared" si="15"/>
        <v/>
      </c>
      <c r="AZ31" s="59" t="str">
        <f t="shared" si="15"/>
        <v/>
      </c>
      <c r="BA31" s="59" t="str">
        <f t="shared" si="15"/>
        <v/>
      </c>
      <c r="BB31" s="59" t="str">
        <f t="shared" si="15"/>
        <v/>
      </c>
    </row>
    <row r="32" spans="1:54" ht="39.75" customHeight="1" x14ac:dyDescent="0.25">
      <c r="A32" s="7">
        <f t="shared" ca="1" si="2"/>
        <v>0</v>
      </c>
      <c r="B32" s="78">
        <v>1</v>
      </c>
      <c r="C32" s="11">
        <v>1</v>
      </c>
      <c r="D32" s="12">
        <f t="shared" si="5"/>
        <v>1</v>
      </c>
      <c r="E32" s="12">
        <v>1</v>
      </c>
      <c r="F32" s="13">
        <v>2027</v>
      </c>
      <c r="G32" s="12">
        <v>30</v>
      </c>
      <c r="H32" s="9">
        <v>0.01</v>
      </c>
      <c r="I32" s="9"/>
      <c r="J32" s="65">
        <v>4.53</v>
      </c>
      <c r="K32" s="75">
        <v>1</v>
      </c>
      <c r="L32" s="75">
        <f t="shared" si="6"/>
        <v>1</v>
      </c>
      <c r="M32" s="3" t="s">
        <v>202</v>
      </c>
      <c r="N32" s="3" t="s">
        <v>235</v>
      </c>
      <c r="O32" s="57">
        <f t="shared" si="7"/>
        <v>2027</v>
      </c>
      <c r="P32" s="57" t="s">
        <v>204</v>
      </c>
      <c r="Q32" s="57" t="str">
        <f t="shared" si="8"/>
        <v>2</v>
      </c>
      <c r="R32" s="69">
        <v>32500</v>
      </c>
      <c r="S32" s="72">
        <v>1</v>
      </c>
      <c r="T32" s="75">
        <f t="shared" si="9"/>
        <v>32500</v>
      </c>
      <c r="U32" s="75">
        <f t="shared" si="10"/>
        <v>32500</v>
      </c>
      <c r="V32" s="75">
        <f t="shared" ca="1" si="11"/>
        <v>34479.249999999985</v>
      </c>
      <c r="W32" s="58">
        <f t="shared" ca="1" si="12"/>
        <v>5.2550160684298672E-3</v>
      </c>
      <c r="X32" s="59" t="str">
        <f t="shared" si="15"/>
        <v/>
      </c>
      <c r="Y32" s="59" t="str">
        <f t="shared" si="15"/>
        <v/>
      </c>
      <c r="Z32" s="59">
        <f>IFERROR(IFERROR(IF(OR(Z$8 = ($F32 - Current_Fiscal_Year),AND(MOD($F32-Z$9,$G32)=0,Z$9&gt;$F32)),IF(secondaryInflationYear- Current_Fiscal_Year &gt;=Z$8,ROUND($L32* $R32*$S32*((1 + Z$7)^Z$8),1),ROUND($L32* $R32*$S32*(((1+secondaryInflation)^(secondaryInflationYear-Current_Fiscal_Year)) * ((1+Z$7)^(Z$8-(secondaryInflationYear - Current_Fiscal_Year)))),1)),IF(AND($D32&lt;&gt;1,Z$8 &gt; ($F32 - Current_Fiscal_Year),(Z$8 - (($F32 - Current_Fiscal_Year)+$G32*INT(((Z$8 - ($F32 - Current_Fiscal_Year)) / $G32))))/((($D32 - $E32)/($E32-1))+1) = INT((Z$8 - (($F32 - Current_Fiscal_Year)+$G32*INT(((Z$8 - ($F32 - Current_Fiscal_Year)) / $G32))))/((($D32 - $E32)/($E32-1))+1)), (Z$8 - (($F32 - Current_Fiscal_Year)+$G32*INT(((Z$8 - ($F32 - Current_Fiscal_Year)) / $G32)))) &lt;$D32),IF(secondaryInflationYear- Current_Fiscal_Year &gt;=Z$8,ROUND($L32* $R32*$S32*((1 + Z$7)^Z$8),1),ROUND($L32* $R32*$S32*(((1+secondaryInflation)^(secondaryInflationYear-Current_Fiscal_Year)) * ((1+Z$7)^(Z$8-(secondaryInflationYear - Current_Fiscal_Year)))),1)),"")),"")*0.99999854985455,"")</f>
        <v>34479.249999999985</v>
      </c>
      <c r="AA32" s="59" t="str">
        <f t="shared" si="15"/>
        <v/>
      </c>
      <c r="AB32" s="59" t="str">
        <f t="shared" si="15"/>
        <v/>
      </c>
      <c r="AC32" s="59" t="str">
        <f t="shared" si="15"/>
        <v/>
      </c>
      <c r="AD32" s="59" t="str">
        <f t="shared" si="15"/>
        <v/>
      </c>
      <c r="AE32" s="59" t="str">
        <f t="shared" si="15"/>
        <v/>
      </c>
      <c r="AF32" s="59" t="str">
        <f t="shared" si="15"/>
        <v/>
      </c>
      <c r="AG32" s="59" t="str">
        <f t="shared" si="15"/>
        <v/>
      </c>
      <c r="AH32" s="59" t="str">
        <f t="shared" si="15"/>
        <v/>
      </c>
      <c r="AI32" s="59" t="str">
        <f t="shared" si="15"/>
        <v/>
      </c>
      <c r="AJ32" s="59" t="str">
        <f t="shared" si="15"/>
        <v/>
      </c>
      <c r="AK32" s="59" t="str">
        <f t="shared" si="15"/>
        <v/>
      </c>
      <c r="AL32" s="59" t="str">
        <f t="shared" si="15"/>
        <v/>
      </c>
      <c r="AM32" s="59" t="str">
        <f t="shared" si="15"/>
        <v/>
      </c>
      <c r="AN32" s="59" t="str">
        <f t="shared" si="15"/>
        <v/>
      </c>
      <c r="AO32" s="59" t="str">
        <f t="shared" si="15"/>
        <v/>
      </c>
      <c r="AP32" s="59" t="str">
        <f t="shared" si="15"/>
        <v/>
      </c>
      <c r="AQ32" s="59" t="str">
        <f t="shared" si="15"/>
        <v/>
      </c>
      <c r="AR32" s="59" t="str">
        <f t="shared" si="15"/>
        <v/>
      </c>
      <c r="AS32" s="59" t="str">
        <f t="shared" si="15"/>
        <v/>
      </c>
      <c r="AT32" s="59" t="str">
        <f t="shared" si="15"/>
        <v/>
      </c>
      <c r="AU32" s="59" t="str">
        <f t="shared" si="15"/>
        <v/>
      </c>
      <c r="AV32" s="59" t="str">
        <f t="shared" si="15"/>
        <v/>
      </c>
      <c r="AW32" s="59" t="str">
        <f t="shared" si="15"/>
        <v/>
      </c>
      <c r="AX32" s="59" t="str">
        <f t="shared" si="15"/>
        <v/>
      </c>
      <c r="AY32" s="59" t="str">
        <f t="shared" si="15"/>
        <v/>
      </c>
      <c r="AZ32" s="59" t="str">
        <f t="shared" si="15"/>
        <v/>
      </c>
      <c r="BA32" s="59" t="str">
        <f t="shared" si="15"/>
        <v/>
      </c>
      <c r="BB32" s="59" t="str">
        <f t="shared" si="15"/>
        <v/>
      </c>
    </row>
    <row r="33" spans="1:154" ht="39.75" customHeight="1" x14ac:dyDescent="0.25">
      <c r="A33" s="7">
        <f t="shared" ca="1" si="2"/>
        <v>0</v>
      </c>
      <c r="B33" s="78">
        <v>1</v>
      </c>
      <c r="C33" s="11">
        <v>1</v>
      </c>
      <c r="D33" s="12">
        <f t="shared" si="5"/>
        <v>1</v>
      </c>
      <c r="E33" s="12">
        <v>1</v>
      </c>
      <c r="F33" s="13">
        <v>2041</v>
      </c>
      <c r="G33" s="12">
        <v>10</v>
      </c>
      <c r="H33" s="9">
        <v>0.01</v>
      </c>
      <c r="I33" s="9"/>
      <c r="J33" s="65">
        <v>4.54</v>
      </c>
      <c r="K33" s="75">
        <v>2</v>
      </c>
      <c r="L33" s="75">
        <f t="shared" si="6"/>
        <v>2</v>
      </c>
      <c r="M33" s="3" t="s">
        <v>202</v>
      </c>
      <c r="N33" s="3" t="s">
        <v>236</v>
      </c>
      <c r="O33" s="57">
        <f t="shared" si="7"/>
        <v>2041</v>
      </c>
      <c r="P33" s="57" t="s">
        <v>237</v>
      </c>
      <c r="Q33" s="57" t="str">
        <f t="shared" si="8"/>
        <v>16</v>
      </c>
      <c r="R33" s="69">
        <v>11000</v>
      </c>
      <c r="S33" s="72">
        <v>1</v>
      </c>
      <c r="T33" s="75">
        <f t="shared" si="9"/>
        <v>22000</v>
      </c>
      <c r="U33" s="75">
        <f t="shared" si="10"/>
        <v>22000</v>
      </c>
      <c r="V33" s="75">
        <f t="shared" ca="1" si="11"/>
        <v>82748.5</v>
      </c>
      <c r="W33" s="58">
        <f t="shared" ca="1" si="12"/>
        <v>1.2611779465576225E-2</v>
      </c>
      <c r="X33" s="59" t="str">
        <f t="shared" si="15"/>
        <v/>
      </c>
      <c r="Y33" s="59" t="str">
        <f t="shared" si="15"/>
        <v/>
      </c>
      <c r="Z33" s="59" t="str">
        <f t="shared" si="15"/>
        <v/>
      </c>
      <c r="AA33" s="59" t="str">
        <f t="shared" si="15"/>
        <v/>
      </c>
      <c r="AB33" s="59" t="str">
        <f t="shared" si="15"/>
        <v/>
      </c>
      <c r="AC33" s="59" t="str">
        <f t="shared" si="15"/>
        <v/>
      </c>
      <c r="AD33" s="59" t="str">
        <f t="shared" si="15"/>
        <v/>
      </c>
      <c r="AE33" s="59" t="str">
        <f t="shared" si="15"/>
        <v/>
      </c>
      <c r="AF33" s="59"/>
      <c r="AG33" s="59" t="str">
        <f t="shared" si="15"/>
        <v/>
      </c>
      <c r="AH33" s="59" t="str">
        <f t="shared" si="15"/>
        <v/>
      </c>
      <c r="AI33" s="59" t="str">
        <f t="shared" si="15"/>
        <v/>
      </c>
      <c r="AJ33" s="59" t="str">
        <f t="shared" si="15"/>
        <v/>
      </c>
      <c r="AK33" s="59" t="str">
        <f t="shared" si="15"/>
        <v/>
      </c>
      <c r="AL33" s="59" t="str">
        <f t="shared" si="15"/>
        <v/>
      </c>
      <c r="AM33" s="59" t="str">
        <f t="shared" si="15"/>
        <v/>
      </c>
      <c r="AN33" s="59">
        <f t="shared" si="15"/>
        <v>35303.5</v>
      </c>
      <c r="AO33" s="59" t="str">
        <f t="shared" si="15"/>
        <v/>
      </c>
      <c r="AP33" s="59" t="str">
        <f t="shared" si="15"/>
        <v/>
      </c>
      <c r="AQ33" s="59" t="str">
        <f t="shared" si="15"/>
        <v/>
      </c>
      <c r="AR33" s="59" t="str">
        <f t="shared" si="15"/>
        <v/>
      </c>
      <c r="AS33" s="59" t="str">
        <f t="shared" si="15"/>
        <v/>
      </c>
      <c r="AT33" s="59" t="str">
        <f t="shared" si="15"/>
        <v/>
      </c>
      <c r="AU33" s="59" t="str">
        <f t="shared" si="15"/>
        <v/>
      </c>
      <c r="AV33" s="59" t="str">
        <f t="shared" si="15"/>
        <v/>
      </c>
      <c r="AW33" s="59" t="str">
        <f t="shared" si="15"/>
        <v/>
      </c>
      <c r="AX33" s="59">
        <f t="shared" si="15"/>
        <v>47445</v>
      </c>
      <c r="AY33" s="59" t="str">
        <f t="shared" si="15"/>
        <v/>
      </c>
      <c r="AZ33" s="59" t="str">
        <f t="shared" si="15"/>
        <v/>
      </c>
      <c r="BA33" s="59" t="str">
        <f t="shared" si="15"/>
        <v/>
      </c>
      <c r="BB33" s="59" t="str">
        <f t="shared" si="15"/>
        <v/>
      </c>
    </row>
    <row r="34" spans="1:154" ht="39.75" customHeight="1" x14ac:dyDescent="0.25">
      <c r="A34" s="7">
        <f t="shared" ca="1" si="2"/>
        <v>0</v>
      </c>
      <c r="B34" s="78">
        <v>1</v>
      </c>
      <c r="C34" s="11">
        <v>1</v>
      </c>
      <c r="D34" s="12">
        <f t="shared" si="5"/>
        <v>1</v>
      </c>
      <c r="E34" s="12">
        <v>1</v>
      </c>
      <c r="F34" s="13">
        <v>2031</v>
      </c>
      <c r="G34" s="12">
        <v>30</v>
      </c>
      <c r="H34" s="9">
        <v>0.01</v>
      </c>
      <c r="I34" s="9"/>
      <c r="J34" s="65">
        <v>4.55</v>
      </c>
      <c r="K34" s="75">
        <v>1</v>
      </c>
      <c r="L34" s="75">
        <f t="shared" si="6"/>
        <v>1</v>
      </c>
      <c r="M34" s="3" t="s">
        <v>202</v>
      </c>
      <c r="N34" s="3" t="s">
        <v>238</v>
      </c>
      <c r="O34" s="57">
        <f t="shared" si="7"/>
        <v>2031</v>
      </c>
      <c r="P34" s="57" t="s">
        <v>204</v>
      </c>
      <c r="Q34" s="57" t="str">
        <f t="shared" si="8"/>
        <v>6</v>
      </c>
      <c r="R34" s="69">
        <v>38000</v>
      </c>
      <c r="S34" s="72">
        <v>1</v>
      </c>
      <c r="T34" s="75">
        <f t="shared" si="9"/>
        <v>38000</v>
      </c>
      <c r="U34" s="75">
        <f t="shared" si="10"/>
        <v>38000</v>
      </c>
      <c r="V34" s="75">
        <f t="shared" ca="1" si="11"/>
        <v>45374</v>
      </c>
      <c r="W34" s="58">
        <f t="shared" ca="1" si="12"/>
        <v>6.9154955252488642E-3</v>
      </c>
      <c r="X34" s="59" t="str">
        <f t="shared" si="15"/>
        <v/>
      </c>
      <c r="Y34" s="59" t="str">
        <f t="shared" si="15"/>
        <v/>
      </c>
      <c r="Z34" s="59" t="str">
        <f t="shared" si="15"/>
        <v/>
      </c>
      <c r="AA34" s="59" t="str">
        <f t="shared" si="15"/>
        <v/>
      </c>
      <c r="AB34" s="59" t="str">
        <f t="shared" si="15"/>
        <v/>
      </c>
      <c r="AC34" s="59" t="str">
        <f t="shared" si="15"/>
        <v/>
      </c>
      <c r="AD34" s="59">
        <f t="shared" si="15"/>
        <v>45374</v>
      </c>
      <c r="AE34" s="59" t="str">
        <f t="shared" si="15"/>
        <v/>
      </c>
      <c r="AF34" s="59" t="str">
        <f t="shared" si="15"/>
        <v/>
      </c>
      <c r="AG34" s="59" t="str">
        <f t="shared" si="15"/>
        <v/>
      </c>
      <c r="AH34" s="59" t="str">
        <f t="shared" si="15"/>
        <v/>
      </c>
      <c r="AI34" s="59" t="str">
        <f t="shared" si="15"/>
        <v/>
      </c>
      <c r="AJ34" s="59" t="str">
        <f t="shared" si="15"/>
        <v/>
      </c>
      <c r="AK34" s="59" t="str">
        <f t="shared" si="15"/>
        <v/>
      </c>
      <c r="AL34" s="59" t="str">
        <f t="shared" si="15"/>
        <v/>
      </c>
      <c r="AM34" s="59" t="str">
        <f t="shared" si="15"/>
        <v/>
      </c>
      <c r="AN34" s="59" t="str">
        <f t="shared" si="15"/>
        <v/>
      </c>
      <c r="AO34" s="59" t="str">
        <f t="shared" si="15"/>
        <v/>
      </c>
      <c r="AP34" s="59" t="str">
        <f t="shared" si="15"/>
        <v/>
      </c>
      <c r="AQ34" s="59" t="str">
        <f t="shared" si="15"/>
        <v/>
      </c>
      <c r="AR34" s="59" t="str">
        <f t="shared" si="15"/>
        <v/>
      </c>
      <c r="AS34" s="59" t="str">
        <f t="shared" si="15"/>
        <v/>
      </c>
      <c r="AT34" s="59" t="str">
        <f t="shared" si="15"/>
        <v/>
      </c>
      <c r="AU34" s="59" t="str">
        <f t="shared" si="15"/>
        <v/>
      </c>
      <c r="AV34" s="59" t="str">
        <f t="shared" si="15"/>
        <v/>
      </c>
      <c r="AW34" s="59" t="str">
        <f t="shared" si="15"/>
        <v/>
      </c>
      <c r="AX34" s="59" t="str">
        <f t="shared" si="15"/>
        <v/>
      </c>
      <c r="AY34" s="59" t="str">
        <f t="shared" si="15"/>
        <v/>
      </c>
      <c r="AZ34" s="59" t="str">
        <f t="shared" si="15"/>
        <v/>
      </c>
      <c r="BA34" s="59" t="str">
        <f t="shared" si="15"/>
        <v/>
      </c>
      <c r="BB34" s="59" t="str">
        <f t="shared" si="15"/>
        <v/>
      </c>
    </row>
    <row r="35" spans="1:154" ht="39.75" customHeight="1" x14ac:dyDescent="0.25">
      <c r="A35" s="7">
        <f t="shared" ca="1" si="2"/>
        <v>1</v>
      </c>
      <c r="B35" s="78">
        <v>1</v>
      </c>
      <c r="C35" s="11">
        <v>1</v>
      </c>
      <c r="D35" s="12">
        <f t="shared" si="5"/>
        <v>1</v>
      </c>
      <c r="E35" s="12">
        <v>1</v>
      </c>
      <c r="F35" s="13">
        <v>2030</v>
      </c>
      <c r="G35" s="12">
        <v>25</v>
      </c>
      <c r="H35" s="9">
        <v>0.01</v>
      </c>
      <c r="I35" s="9"/>
      <c r="J35" s="65">
        <v>4.5599999999999996</v>
      </c>
      <c r="K35" s="75">
        <v>15</v>
      </c>
      <c r="L35" s="75">
        <f t="shared" si="6"/>
        <v>15</v>
      </c>
      <c r="M35" s="3" t="s">
        <v>202</v>
      </c>
      <c r="N35" s="3" t="s">
        <v>239</v>
      </c>
      <c r="O35" s="57">
        <f t="shared" si="7"/>
        <v>2030</v>
      </c>
      <c r="P35" s="57" t="s">
        <v>217</v>
      </c>
      <c r="Q35" s="57" t="str">
        <f t="shared" si="8"/>
        <v>5</v>
      </c>
      <c r="R35" s="69">
        <v>3500</v>
      </c>
      <c r="S35" s="72">
        <v>1</v>
      </c>
      <c r="T35" s="75">
        <f t="shared" si="9"/>
        <v>52500</v>
      </c>
      <c r="U35" s="75">
        <f t="shared" si="10"/>
        <v>52500</v>
      </c>
      <c r="V35" s="75">
        <f t="shared" ca="1" si="11"/>
        <v>188293.2</v>
      </c>
      <c r="W35" s="58">
        <f t="shared" ca="1" si="12"/>
        <v>2.8697949972115958E-2</v>
      </c>
      <c r="X35" s="59" t="str">
        <f t="shared" si="15"/>
        <v/>
      </c>
      <c r="Y35" s="59" t="str">
        <f t="shared" si="15"/>
        <v/>
      </c>
      <c r="Z35" s="59" t="str">
        <f t="shared" si="15"/>
        <v/>
      </c>
      <c r="AA35" s="59" t="str">
        <f t="shared" si="15"/>
        <v/>
      </c>
      <c r="AB35" s="59" t="str">
        <f t="shared" si="15"/>
        <v/>
      </c>
      <c r="AC35" s="59">
        <f t="shared" si="15"/>
        <v>60861.9</v>
      </c>
      <c r="AD35" s="59" t="str">
        <f t="shared" si="15"/>
        <v/>
      </c>
      <c r="AE35" s="59" t="str">
        <f t="shared" si="15"/>
        <v/>
      </c>
      <c r="AF35" s="59" t="str">
        <f t="shared" si="15"/>
        <v/>
      </c>
      <c r="AG35" s="59" t="str">
        <f t="shared" si="15"/>
        <v/>
      </c>
      <c r="AH35" s="59" t="str">
        <f t="shared" si="15"/>
        <v/>
      </c>
      <c r="AI35" s="59" t="str">
        <f t="shared" si="15"/>
        <v/>
      </c>
      <c r="AJ35" s="59" t="str">
        <f t="shared" si="15"/>
        <v/>
      </c>
      <c r="AK35" s="59" t="str">
        <f t="shared" si="15"/>
        <v/>
      </c>
      <c r="AL35" s="59" t="str">
        <f t="shared" si="15"/>
        <v/>
      </c>
      <c r="AM35" s="59" t="str">
        <f t="shared" si="15"/>
        <v/>
      </c>
      <c r="AN35" s="59" t="str">
        <f t="shared" si="15"/>
        <v/>
      </c>
      <c r="AO35" s="59" t="str">
        <f t="shared" si="15"/>
        <v/>
      </c>
      <c r="AP35" s="59" t="str">
        <f t="shared" si="15"/>
        <v/>
      </c>
      <c r="AQ35" s="59" t="str">
        <f t="shared" si="15"/>
        <v/>
      </c>
      <c r="AR35" s="59" t="str">
        <f t="shared" si="15"/>
        <v/>
      </c>
      <c r="AS35" s="59" t="str">
        <f t="shared" si="15"/>
        <v/>
      </c>
      <c r="AT35" s="59" t="str">
        <f t="shared" si="15"/>
        <v/>
      </c>
      <c r="AU35" s="59" t="str">
        <f t="shared" si="15"/>
        <v/>
      </c>
      <c r="AV35" s="59" t="str">
        <f t="shared" si="15"/>
        <v/>
      </c>
      <c r="AW35" s="59" t="str">
        <f t="shared" si="15"/>
        <v/>
      </c>
      <c r="AX35" s="59" t="str">
        <f t="shared" si="15"/>
        <v/>
      </c>
      <c r="AY35" s="59" t="str">
        <f t="shared" si="15"/>
        <v/>
      </c>
      <c r="AZ35" s="59" t="str">
        <f t="shared" si="15"/>
        <v/>
      </c>
      <c r="BA35" s="59" t="str">
        <f t="shared" si="15"/>
        <v/>
      </c>
      <c r="BB35" s="59">
        <f t="shared" si="15"/>
        <v>127431.3</v>
      </c>
    </row>
    <row r="36" spans="1:154" ht="39.75" customHeight="1" x14ac:dyDescent="0.25">
      <c r="A36" s="7">
        <f t="shared" ca="1" si="2"/>
        <v>1</v>
      </c>
      <c r="B36" s="78">
        <v>1</v>
      </c>
      <c r="C36" s="11">
        <v>1</v>
      </c>
      <c r="D36" s="12">
        <f t="shared" si="5"/>
        <v>1</v>
      </c>
      <c r="E36" s="12">
        <v>1</v>
      </c>
      <c r="F36" s="13">
        <v>2028</v>
      </c>
      <c r="G36" s="12">
        <v>25</v>
      </c>
      <c r="H36" s="9">
        <v>0.01</v>
      </c>
      <c r="I36" s="9"/>
      <c r="J36" s="65">
        <v>4.5999999999999996</v>
      </c>
      <c r="K36" s="75">
        <v>4</v>
      </c>
      <c r="L36" s="75">
        <f t="shared" si="6"/>
        <v>4</v>
      </c>
      <c r="M36" s="3" t="s">
        <v>202</v>
      </c>
      <c r="N36" s="3" t="s">
        <v>240</v>
      </c>
      <c r="O36" s="57">
        <f t="shared" si="7"/>
        <v>2028</v>
      </c>
      <c r="P36" s="57" t="s">
        <v>217</v>
      </c>
      <c r="Q36" s="57" t="str">
        <f t="shared" si="8"/>
        <v>3</v>
      </c>
      <c r="R36" s="69">
        <v>2100</v>
      </c>
      <c r="S36" s="72">
        <v>1</v>
      </c>
      <c r="T36" s="75">
        <f t="shared" si="9"/>
        <v>8400</v>
      </c>
      <c r="U36" s="75">
        <f t="shared" si="10"/>
        <v>8400</v>
      </c>
      <c r="V36" s="75">
        <f t="shared" ca="1" si="11"/>
        <v>28397.5</v>
      </c>
      <c r="W36" s="58">
        <f t="shared" ca="1" si="12"/>
        <v>4.3280906285153306E-3</v>
      </c>
      <c r="X36" s="59" t="str">
        <f t="shared" si="15"/>
        <v/>
      </c>
      <c r="Y36" s="59" t="str">
        <f t="shared" si="15"/>
        <v/>
      </c>
      <c r="Z36" s="59" t="str">
        <f t="shared" si="15"/>
        <v/>
      </c>
      <c r="AA36" s="59">
        <f t="shared" si="15"/>
        <v>9178.9</v>
      </c>
      <c r="AB36" s="59" t="str">
        <f t="shared" si="15"/>
        <v/>
      </c>
      <c r="AC36" s="59" t="str">
        <f t="shared" si="15"/>
        <v/>
      </c>
      <c r="AD36" s="59" t="str">
        <f t="shared" si="15"/>
        <v/>
      </c>
      <c r="AE36" s="59" t="str">
        <f t="shared" si="15"/>
        <v/>
      </c>
      <c r="AF36" s="59" t="str">
        <f t="shared" si="15"/>
        <v/>
      </c>
      <c r="AG36" s="59" t="str">
        <f t="shared" si="15"/>
        <v/>
      </c>
      <c r="AH36" s="59" t="str">
        <f t="shared" si="15"/>
        <v/>
      </c>
      <c r="AI36" s="59" t="str">
        <f t="shared" si="15"/>
        <v/>
      </c>
      <c r="AJ36" s="59" t="str">
        <f t="shared" si="15"/>
        <v/>
      </c>
      <c r="AK36" s="59" t="str">
        <f t="shared" si="15"/>
        <v/>
      </c>
      <c r="AL36" s="59" t="str">
        <f t="shared" si="15"/>
        <v/>
      </c>
      <c r="AM36" s="59" t="str">
        <f t="shared" si="15"/>
        <v/>
      </c>
      <c r="AN36" s="59" t="str">
        <f t="shared" si="15"/>
        <v/>
      </c>
      <c r="AO36" s="59" t="str">
        <f t="shared" si="15"/>
        <v/>
      </c>
      <c r="AP36" s="59" t="str">
        <f t="shared" si="15"/>
        <v/>
      </c>
      <c r="AQ36" s="59" t="str">
        <f t="shared" si="15"/>
        <v/>
      </c>
      <c r="AR36" s="59" t="str">
        <f t="shared" si="15"/>
        <v/>
      </c>
      <c r="AS36" s="59" t="str">
        <f t="shared" si="15"/>
        <v/>
      </c>
      <c r="AT36" s="59" t="str">
        <f t="shared" si="15"/>
        <v/>
      </c>
      <c r="AU36" s="59" t="str">
        <f t="shared" si="15"/>
        <v/>
      </c>
      <c r="AV36" s="59" t="str">
        <f t="shared" si="15"/>
        <v/>
      </c>
      <c r="AW36" s="59" t="str">
        <f t="shared" si="15"/>
        <v/>
      </c>
      <c r="AX36" s="59" t="str">
        <f t="shared" si="15"/>
        <v/>
      </c>
      <c r="AY36" s="59" t="str">
        <f t="shared" si="15"/>
        <v/>
      </c>
      <c r="AZ36" s="59">
        <f t="shared" si="15"/>
        <v>19218.599999999999</v>
      </c>
      <c r="BA36" s="59" t="str">
        <f t="shared" si="15"/>
        <v/>
      </c>
      <c r="BB36" s="59" t="str">
        <f t="shared" si="15"/>
        <v/>
      </c>
    </row>
    <row r="37" spans="1:154" ht="39.75" customHeight="1" x14ac:dyDescent="0.25">
      <c r="A37" s="7">
        <f t="shared" ca="1" si="2"/>
        <v>1</v>
      </c>
      <c r="B37" s="78">
        <v>1</v>
      </c>
      <c r="C37" s="11">
        <v>1</v>
      </c>
      <c r="D37" s="12">
        <f t="shared" si="5"/>
        <v>1</v>
      </c>
      <c r="E37" s="12">
        <v>1</v>
      </c>
      <c r="F37" s="13">
        <v>2039</v>
      </c>
      <c r="G37" s="12">
        <v>24</v>
      </c>
      <c r="H37" s="9">
        <v>0.01</v>
      </c>
      <c r="I37" s="9"/>
      <c r="J37" s="65">
        <v>4.62</v>
      </c>
      <c r="K37" s="75">
        <v>7950</v>
      </c>
      <c r="L37" s="75">
        <f t="shared" si="6"/>
        <v>7950</v>
      </c>
      <c r="M37" s="3" t="s">
        <v>211</v>
      </c>
      <c r="N37" s="3" t="s">
        <v>241</v>
      </c>
      <c r="O37" s="57">
        <f t="shared" si="7"/>
        <v>2039</v>
      </c>
      <c r="P37" s="57" t="s">
        <v>217</v>
      </c>
      <c r="Q37" s="57" t="str">
        <f t="shared" si="8"/>
        <v>14</v>
      </c>
      <c r="R37" s="69">
        <v>18.5</v>
      </c>
      <c r="S37" s="72">
        <v>1</v>
      </c>
      <c r="T37" s="75">
        <f t="shared" si="9"/>
        <v>147075</v>
      </c>
      <c r="U37" s="75">
        <f t="shared" si="10"/>
        <v>147075</v>
      </c>
      <c r="V37" s="75">
        <f t="shared" ca="1" si="11"/>
        <v>222464.1</v>
      </c>
      <c r="W37" s="58">
        <f t="shared" ca="1" si="12"/>
        <v>3.3905970116774271E-2</v>
      </c>
      <c r="X37" s="59" t="str">
        <f t="shared" si="15"/>
        <v/>
      </c>
      <c r="Y37" s="59" t="str">
        <f t="shared" si="15"/>
        <v/>
      </c>
      <c r="Z37" s="59" t="str">
        <f t="shared" si="15"/>
        <v/>
      </c>
      <c r="AA37" s="59" t="str">
        <f t="shared" si="15"/>
        <v/>
      </c>
      <c r="AB37" s="59" t="str">
        <f t="shared" si="15"/>
        <v/>
      </c>
      <c r="AC37" s="59" t="str">
        <f t="shared" si="15"/>
        <v/>
      </c>
      <c r="AD37" s="59" t="str">
        <f t="shared" si="15"/>
        <v/>
      </c>
      <c r="AE37" s="59" t="str">
        <f t="shared" si="15"/>
        <v/>
      </c>
      <c r="AF37" s="59" t="str">
        <f t="shared" si="15"/>
        <v/>
      </c>
      <c r="AG37" s="59" t="str">
        <f t="shared" si="15"/>
        <v/>
      </c>
      <c r="AH37" s="59" t="str">
        <f t="shared" si="15"/>
        <v/>
      </c>
      <c r="AI37" s="59" t="str">
        <f t="shared" si="15"/>
        <v/>
      </c>
      <c r="AJ37" s="59" t="str">
        <f t="shared" si="15"/>
        <v/>
      </c>
      <c r="AK37" s="59" t="str">
        <f t="shared" si="15"/>
        <v/>
      </c>
      <c r="AL37" s="59">
        <f t="shared" si="15"/>
        <v>222464.1</v>
      </c>
      <c r="AM37" s="59" t="str">
        <f t="shared" si="15"/>
        <v/>
      </c>
      <c r="AN37" s="59" t="str">
        <f t="shared" si="15"/>
        <v/>
      </c>
      <c r="AO37" s="59" t="str">
        <f t="shared" si="15"/>
        <v/>
      </c>
      <c r="AP37" s="59" t="str">
        <f t="shared" si="15"/>
        <v/>
      </c>
      <c r="AQ37" s="59" t="str">
        <f t="shared" si="15"/>
        <v/>
      </c>
      <c r="AR37" s="59" t="str">
        <f t="shared" si="15"/>
        <v/>
      </c>
      <c r="AS37" s="59" t="str">
        <f t="shared" si="15"/>
        <v/>
      </c>
      <c r="AT37" s="59" t="str">
        <f t="shared" si="15"/>
        <v/>
      </c>
      <c r="AU37" s="59" t="str">
        <f t="shared" si="15"/>
        <v/>
      </c>
      <c r="AV37" s="59" t="str">
        <f t="shared" si="15"/>
        <v/>
      </c>
      <c r="AW37" s="59" t="str">
        <f t="shared" si="15"/>
        <v/>
      </c>
      <c r="AX37" s="59" t="str">
        <f t="shared" si="15"/>
        <v/>
      </c>
      <c r="AY37" s="59" t="str">
        <f t="shared" si="15"/>
        <v/>
      </c>
      <c r="AZ37" s="59" t="str">
        <f t="shared" si="15"/>
        <v/>
      </c>
      <c r="BA37" s="59" t="str">
        <f t="shared" si="15"/>
        <v/>
      </c>
      <c r="BB37" s="59" t="str">
        <f t="shared" si="15"/>
        <v/>
      </c>
    </row>
    <row r="38" spans="1:154" ht="39.75" customHeight="1" x14ac:dyDescent="0.25">
      <c r="A38" s="7">
        <f t="shared" ca="1" si="2"/>
        <v>0</v>
      </c>
      <c r="B38" s="78">
        <v>1</v>
      </c>
      <c r="C38" s="11">
        <v>1</v>
      </c>
      <c r="D38" s="12">
        <f t="shared" si="5"/>
        <v>1</v>
      </c>
      <c r="E38" s="12">
        <v>1</v>
      </c>
      <c r="F38" s="13">
        <v>2027</v>
      </c>
      <c r="G38" s="12">
        <v>14</v>
      </c>
      <c r="H38" s="9">
        <v>0.01</v>
      </c>
      <c r="I38" s="9"/>
      <c r="J38" s="65">
        <v>4.7</v>
      </c>
      <c r="K38" s="75">
        <v>1</v>
      </c>
      <c r="L38" s="75">
        <f t="shared" si="6"/>
        <v>1</v>
      </c>
      <c r="M38" s="3" t="s">
        <v>202</v>
      </c>
      <c r="N38" s="3" t="s">
        <v>242</v>
      </c>
      <c r="O38" s="57">
        <f t="shared" si="7"/>
        <v>2027</v>
      </c>
      <c r="P38" s="57" t="s">
        <v>243</v>
      </c>
      <c r="Q38" s="57" t="str">
        <f t="shared" si="8"/>
        <v>2</v>
      </c>
      <c r="R38" s="69">
        <v>7900</v>
      </c>
      <c r="S38" s="72">
        <v>1</v>
      </c>
      <c r="T38" s="75">
        <f t="shared" si="9"/>
        <v>7900</v>
      </c>
      <c r="U38" s="75">
        <f t="shared" si="10"/>
        <v>7900</v>
      </c>
      <c r="V38" s="75">
        <f t="shared" ca="1" si="11"/>
        <v>40233.700000000004</v>
      </c>
      <c r="W38" s="58">
        <f t="shared" ca="1" si="12"/>
        <v>6.1320573966193248E-3</v>
      </c>
      <c r="X38" s="59" t="str">
        <f t="shared" si="15"/>
        <v/>
      </c>
      <c r="Y38" s="59" t="str">
        <f t="shared" si="15"/>
        <v/>
      </c>
      <c r="Z38" s="59">
        <f t="shared" si="15"/>
        <v>8381.1</v>
      </c>
      <c r="AA38" s="59" t="str">
        <f t="shared" si="15"/>
        <v/>
      </c>
      <c r="AB38" s="59" t="str">
        <f t="shared" si="15"/>
        <v/>
      </c>
      <c r="AC38" s="59" t="str">
        <f t="shared" si="15"/>
        <v/>
      </c>
      <c r="AD38" s="59" t="str">
        <f t="shared" si="15"/>
        <v/>
      </c>
      <c r="AE38" s="59" t="str">
        <f t="shared" si="15"/>
        <v/>
      </c>
      <c r="AF38" s="59" t="str">
        <f t="shared" si="15"/>
        <v/>
      </c>
      <c r="AG38" s="59" t="str">
        <f t="shared" si="15"/>
        <v/>
      </c>
      <c r="AH38" s="59" t="str">
        <f t="shared" si="15"/>
        <v/>
      </c>
      <c r="AI38" s="59" t="str">
        <f t="shared" si="15"/>
        <v/>
      </c>
      <c r="AJ38" s="59" t="str">
        <f t="shared" si="15"/>
        <v/>
      </c>
      <c r="AK38" s="59" t="str">
        <f t="shared" si="15"/>
        <v/>
      </c>
      <c r="AL38" s="59" t="str">
        <f t="shared" si="15"/>
        <v/>
      </c>
      <c r="AM38" s="59" t="str">
        <f t="shared" si="15"/>
        <v/>
      </c>
      <c r="AN38" s="59">
        <f t="shared" si="15"/>
        <v>12677.2</v>
      </c>
      <c r="AO38" s="59" t="str">
        <f t="shared" si="15"/>
        <v/>
      </c>
      <c r="AP38" s="59" t="str">
        <f t="shared" si="15"/>
        <v/>
      </c>
      <c r="AQ38" s="59" t="str">
        <f t="shared" si="15"/>
        <v/>
      </c>
      <c r="AR38" s="59" t="str">
        <f t="shared" si="15"/>
        <v/>
      </c>
      <c r="AS38" s="59" t="str">
        <f t="shared" si="15"/>
        <v/>
      </c>
      <c r="AT38" s="59" t="str">
        <f t="shared" si="15"/>
        <v/>
      </c>
      <c r="AU38" s="59" t="str">
        <f t="shared" si="15"/>
        <v/>
      </c>
      <c r="AV38" s="59" t="str">
        <f t="shared" si="15"/>
        <v/>
      </c>
      <c r="AW38" s="59" t="str">
        <f t="shared" si="15"/>
        <v/>
      </c>
      <c r="AX38" s="59" t="str">
        <f t="shared" si="15"/>
        <v/>
      </c>
      <c r="AY38" s="59" t="str">
        <f t="shared" si="15"/>
        <v/>
      </c>
      <c r="AZ38" s="59" t="str">
        <f t="shared" si="15"/>
        <v/>
      </c>
      <c r="BA38" s="59" t="str">
        <f t="shared" si="15"/>
        <v/>
      </c>
      <c r="BB38" s="59">
        <f t="shared" si="15"/>
        <v>19175.400000000001</v>
      </c>
    </row>
    <row r="39" spans="1:154" ht="39.75" customHeight="1" x14ac:dyDescent="0.25">
      <c r="A39" s="7">
        <f t="shared" ca="1" si="2"/>
        <v>0</v>
      </c>
      <c r="B39" s="78">
        <v>1</v>
      </c>
      <c r="C39" s="11">
        <v>1</v>
      </c>
      <c r="D39" s="12">
        <f t="shared" si="5"/>
        <v>1</v>
      </c>
      <c r="E39" s="12">
        <v>1</v>
      </c>
      <c r="F39" s="13">
        <v>2031</v>
      </c>
      <c r="G39" s="12">
        <v>30</v>
      </c>
      <c r="H39" s="9">
        <v>5</v>
      </c>
      <c r="I39" s="9"/>
      <c r="J39" s="65">
        <v>4.7300000000000004</v>
      </c>
      <c r="K39" s="75">
        <v>920</v>
      </c>
      <c r="L39" s="75">
        <f t="shared" si="6"/>
        <v>920</v>
      </c>
      <c r="M39" s="3" t="s">
        <v>219</v>
      </c>
      <c r="N39" s="3" t="s">
        <v>244</v>
      </c>
      <c r="O39" s="57">
        <f t="shared" si="7"/>
        <v>2031</v>
      </c>
      <c r="P39" s="57" t="s">
        <v>204</v>
      </c>
      <c r="Q39" s="57" t="str">
        <f t="shared" si="8"/>
        <v>6</v>
      </c>
      <c r="R39" s="69">
        <v>36</v>
      </c>
      <c r="S39" s="72">
        <v>1</v>
      </c>
      <c r="T39" s="75">
        <f t="shared" si="9"/>
        <v>33120</v>
      </c>
      <c r="U39" s="75">
        <f t="shared" si="10"/>
        <v>33120</v>
      </c>
      <c r="V39" s="75">
        <f t="shared" ca="1" si="11"/>
        <v>39547</v>
      </c>
      <c r="W39" s="58">
        <f t="shared" ca="1" si="12"/>
        <v>6.0273967809101429E-3</v>
      </c>
      <c r="X39" s="59" t="str">
        <f t="shared" si="15"/>
        <v/>
      </c>
      <c r="Y39" s="59" t="str">
        <f t="shared" si="15"/>
        <v/>
      </c>
      <c r="Z39" s="59" t="str">
        <f t="shared" si="15"/>
        <v/>
      </c>
      <c r="AA39" s="59" t="str">
        <f t="shared" si="15"/>
        <v/>
      </c>
      <c r="AB39" s="59" t="str">
        <f t="shared" si="15"/>
        <v/>
      </c>
      <c r="AC39" s="59" t="str">
        <f t="shared" si="15"/>
        <v/>
      </c>
      <c r="AD39" s="59">
        <f t="shared" si="15"/>
        <v>39547</v>
      </c>
      <c r="AE39" s="59" t="str">
        <f t="shared" si="15"/>
        <v/>
      </c>
      <c r="AF39" s="59" t="str">
        <f t="shared" si="15"/>
        <v/>
      </c>
      <c r="AG39" s="59" t="str">
        <f t="shared" ref="AG39:BB39" si="16">IFERROR(IF(OR(AG$8 = ($F39 - Current_Fiscal_Year),AND(MOD($F39-AG$9,$G39)=0,AG$9&gt;$F39)),IF(secondaryInflationYear- Current_Fiscal_Year &gt;=AG$8,ROUND($L39* $R39*$S39*((1 + AG$7)^AG$8),1),ROUND($L39* $R39*$S39*(((1+secondaryInflation)^(secondaryInflationYear-Current_Fiscal_Year)) * ((1+AG$7)^(AG$8-(secondaryInflationYear - Current_Fiscal_Year)))),1)),IF(AND($D39&lt;&gt;1,AG$8 &gt; ($F39 - Current_Fiscal_Year),(AG$8 - (($F39 - Current_Fiscal_Year)+$G39*INT(((AG$8 - ($F39 - Current_Fiscal_Year)) / $G39))))/((($D39 - $E39)/($E39-1))+1) = INT((AG$8 - (($F39 - Current_Fiscal_Year)+$G39*INT(((AG$8 - ($F39 - Current_Fiscal_Year)) / $G39))))/((($D39 - $E39)/($E39-1))+1)), (AG$8 - (($F39 - Current_Fiscal_Year)+$G39*INT(((AG$8 - ($F39 - Current_Fiscal_Year)) / $G39)))) &lt;$D39),IF(secondaryInflationYear- Current_Fiscal_Year &gt;=AG$8,ROUND($L39* $R39*$S39*((1 + AG$7)^AG$8),1),ROUND($L39* $R39*$S39*(((1+secondaryInflation)^(secondaryInflationYear-Current_Fiscal_Year)) * ((1+AG$7)^(AG$8-(secondaryInflationYear - Current_Fiscal_Year)))),1)),"")),"")</f>
        <v/>
      </c>
      <c r="AH39" s="59" t="str">
        <f t="shared" si="16"/>
        <v/>
      </c>
      <c r="AI39" s="59" t="str">
        <f t="shared" si="16"/>
        <v/>
      </c>
      <c r="AJ39" s="59" t="str">
        <f t="shared" si="16"/>
        <v/>
      </c>
      <c r="AK39" s="59" t="str">
        <f t="shared" si="16"/>
        <v/>
      </c>
      <c r="AL39" s="59" t="str">
        <f t="shared" si="16"/>
        <v/>
      </c>
      <c r="AM39" s="59" t="str">
        <f t="shared" si="16"/>
        <v/>
      </c>
      <c r="AN39" s="59" t="str">
        <f t="shared" si="16"/>
        <v/>
      </c>
      <c r="AO39" s="59" t="str">
        <f t="shared" si="16"/>
        <v/>
      </c>
      <c r="AP39" s="59" t="str">
        <f t="shared" si="16"/>
        <v/>
      </c>
      <c r="AQ39" s="59" t="str">
        <f t="shared" si="16"/>
        <v/>
      </c>
      <c r="AR39" s="59" t="str">
        <f t="shared" si="16"/>
        <v/>
      </c>
      <c r="AS39" s="59" t="str">
        <f t="shared" si="16"/>
        <v/>
      </c>
      <c r="AT39" s="59" t="str">
        <f t="shared" si="16"/>
        <v/>
      </c>
      <c r="AU39" s="59" t="str">
        <f t="shared" si="16"/>
        <v/>
      </c>
      <c r="AV39" s="59" t="str">
        <f t="shared" si="16"/>
        <v/>
      </c>
      <c r="AW39" s="59" t="str">
        <f t="shared" si="16"/>
        <v/>
      </c>
      <c r="AX39" s="59" t="str">
        <f t="shared" si="16"/>
        <v/>
      </c>
      <c r="AY39" s="59" t="str">
        <f t="shared" si="16"/>
        <v/>
      </c>
      <c r="AZ39" s="59" t="str">
        <f t="shared" si="16"/>
        <v/>
      </c>
      <c r="BA39" s="59" t="str">
        <f t="shared" si="16"/>
        <v/>
      </c>
      <c r="BB39" s="59" t="str">
        <f t="shared" si="16"/>
        <v/>
      </c>
    </row>
    <row r="40" spans="1:154" ht="39.75" customHeight="1" x14ac:dyDescent="0.25">
      <c r="A40" s="7">
        <f t="shared" ca="1" si="2"/>
        <v>0</v>
      </c>
      <c r="B40" s="78">
        <v>1</v>
      </c>
      <c r="C40" s="11">
        <v>1</v>
      </c>
      <c r="D40" s="12">
        <f t="shared" si="5"/>
        <v>1</v>
      </c>
      <c r="E40" s="12">
        <v>1</v>
      </c>
      <c r="F40" s="13">
        <v>2035</v>
      </c>
      <c r="G40" s="12">
        <v>25</v>
      </c>
      <c r="H40" s="9">
        <v>0.01</v>
      </c>
      <c r="I40" s="9"/>
      <c r="J40" s="65">
        <v>4.79</v>
      </c>
      <c r="K40" s="75">
        <v>1</v>
      </c>
      <c r="L40" s="75">
        <f t="shared" si="6"/>
        <v>1</v>
      </c>
      <c r="M40" s="3" t="s">
        <v>202</v>
      </c>
      <c r="N40" s="3" t="s">
        <v>245</v>
      </c>
      <c r="O40" s="57">
        <f t="shared" si="7"/>
        <v>2035</v>
      </c>
      <c r="P40" s="57" t="s">
        <v>217</v>
      </c>
      <c r="Q40" s="57" t="str">
        <f t="shared" si="8"/>
        <v>10</v>
      </c>
      <c r="R40" s="69">
        <v>19500</v>
      </c>
      <c r="S40" s="72">
        <v>1</v>
      </c>
      <c r="T40" s="75">
        <f t="shared" si="9"/>
        <v>19500</v>
      </c>
      <c r="U40" s="75">
        <f t="shared" si="10"/>
        <v>19500</v>
      </c>
      <c r="V40" s="75">
        <f t="shared" ca="1" si="11"/>
        <v>26206.400000000001</v>
      </c>
      <c r="W40" s="58">
        <f t="shared" ca="1" si="12"/>
        <v>3.9941429438198495E-3</v>
      </c>
      <c r="X40" s="59" t="str">
        <f t="shared" ref="X40:BB41" si="17">IFERROR(IF(OR(X$8 = ($F40 - Current_Fiscal_Year),AND(MOD($F40-X$9,$G40)=0,X$9&gt;$F40)),IF(secondaryInflationYear- Current_Fiscal_Year &gt;=X$8,ROUND($L40* $R40*$S40*((1 + X$7)^X$8),1),ROUND($L40* $R40*$S40*(((1+secondaryInflation)^(secondaryInflationYear-Current_Fiscal_Year)) * ((1+X$7)^(X$8-(secondaryInflationYear - Current_Fiscal_Year)))),1)),IF(AND($D40&lt;&gt;1,X$8 &gt; ($F40 - Current_Fiscal_Year),(X$8 - (($F40 - Current_Fiscal_Year)+$G40*INT(((X$8 - ($F40 - Current_Fiscal_Year)) / $G40))))/((($D40 - $E40)/($E40-1))+1) = INT((X$8 - (($F40 - Current_Fiscal_Year)+$G40*INT(((X$8 - ($F40 - Current_Fiscal_Year)) / $G40))))/((($D40 - $E40)/($E40-1))+1)), (X$8 - (($F40 - Current_Fiscal_Year)+$G40*INT(((X$8 - ($F40 - Current_Fiscal_Year)) / $G40)))) &lt;$D40),IF(secondaryInflationYear- Current_Fiscal_Year &gt;=X$8,ROUND($L40* $R40*$S40*((1 + X$7)^X$8),1),ROUND($L40* $R40*$S40*(((1+secondaryInflation)^(secondaryInflationYear-Current_Fiscal_Year)) * ((1+X$7)^(X$8-(secondaryInflationYear - Current_Fiscal_Year)))),1)),"")),"")</f>
        <v/>
      </c>
      <c r="Y40" s="59" t="str">
        <f t="shared" si="17"/>
        <v/>
      </c>
      <c r="Z40" s="59" t="str">
        <f t="shared" si="17"/>
        <v/>
      </c>
      <c r="AA40" s="59" t="str">
        <f t="shared" si="17"/>
        <v/>
      </c>
      <c r="AB40" s="59" t="str">
        <f t="shared" si="17"/>
        <v/>
      </c>
      <c r="AC40" s="59" t="str">
        <f t="shared" si="17"/>
        <v/>
      </c>
      <c r="AD40" s="59" t="str">
        <f t="shared" si="17"/>
        <v/>
      </c>
      <c r="AE40" s="59" t="str">
        <f t="shared" si="17"/>
        <v/>
      </c>
      <c r="AF40" s="59" t="str">
        <f t="shared" si="17"/>
        <v/>
      </c>
      <c r="AG40" s="59" t="str">
        <f t="shared" si="17"/>
        <v/>
      </c>
      <c r="AH40" s="59">
        <f t="shared" si="17"/>
        <v>26206.400000000001</v>
      </c>
      <c r="AI40" s="59" t="str">
        <f t="shared" si="17"/>
        <v/>
      </c>
      <c r="AJ40" s="59" t="str">
        <f t="shared" si="17"/>
        <v/>
      </c>
      <c r="AK40" s="59" t="str">
        <f t="shared" si="17"/>
        <v/>
      </c>
      <c r="AL40" s="59" t="str">
        <f t="shared" si="17"/>
        <v/>
      </c>
      <c r="AM40" s="59" t="str">
        <f t="shared" si="17"/>
        <v/>
      </c>
      <c r="AN40" s="59" t="str">
        <f t="shared" si="17"/>
        <v/>
      </c>
      <c r="AO40" s="59" t="str">
        <f t="shared" si="17"/>
        <v/>
      </c>
      <c r="AP40" s="59" t="str">
        <f t="shared" si="17"/>
        <v/>
      </c>
      <c r="AQ40" s="59" t="str">
        <f t="shared" si="17"/>
        <v/>
      </c>
      <c r="AR40" s="59" t="str">
        <f t="shared" si="17"/>
        <v/>
      </c>
      <c r="AS40" s="59" t="str">
        <f t="shared" si="17"/>
        <v/>
      </c>
      <c r="AT40" s="59" t="str">
        <f t="shared" si="17"/>
        <v/>
      </c>
      <c r="AU40" s="59" t="str">
        <f t="shared" si="17"/>
        <v/>
      </c>
      <c r="AV40" s="59" t="str">
        <f t="shared" si="17"/>
        <v/>
      </c>
      <c r="AW40" s="59" t="str">
        <f t="shared" si="17"/>
        <v/>
      </c>
      <c r="AX40" s="59" t="str">
        <f t="shared" si="17"/>
        <v/>
      </c>
      <c r="AY40" s="59" t="str">
        <f t="shared" si="17"/>
        <v/>
      </c>
      <c r="AZ40" s="59" t="str">
        <f t="shared" si="17"/>
        <v/>
      </c>
      <c r="BA40" s="59" t="str">
        <f t="shared" si="17"/>
        <v/>
      </c>
      <c r="BB40" s="59" t="str">
        <f t="shared" si="17"/>
        <v/>
      </c>
    </row>
    <row r="41" spans="1:154" ht="39.75" customHeight="1" x14ac:dyDescent="0.25">
      <c r="A41" s="7">
        <f t="shared" ca="1" si="2"/>
        <v>1</v>
      </c>
      <c r="B41" s="78">
        <v>1</v>
      </c>
      <c r="C41" s="11">
        <v>1</v>
      </c>
      <c r="D41" s="12">
        <f t="shared" si="5"/>
        <v>1</v>
      </c>
      <c r="E41" s="12">
        <v>1</v>
      </c>
      <c r="F41" s="13">
        <v>2029</v>
      </c>
      <c r="G41" s="12">
        <v>20</v>
      </c>
      <c r="H41" s="9">
        <v>0.01</v>
      </c>
      <c r="I41" s="9"/>
      <c r="J41" s="65">
        <v>4.8</v>
      </c>
      <c r="K41" s="75">
        <v>2</v>
      </c>
      <c r="L41" s="75">
        <f t="shared" si="6"/>
        <v>2</v>
      </c>
      <c r="M41" s="3" t="s">
        <v>202</v>
      </c>
      <c r="N41" s="3" t="s">
        <v>246</v>
      </c>
      <c r="O41" s="57">
        <f t="shared" si="7"/>
        <v>2029</v>
      </c>
      <c r="P41" s="57" t="s">
        <v>223</v>
      </c>
      <c r="Q41" s="57" t="str">
        <f t="shared" si="8"/>
        <v>4</v>
      </c>
      <c r="R41" s="69">
        <v>3900</v>
      </c>
      <c r="S41" s="72">
        <v>1</v>
      </c>
      <c r="T41" s="75">
        <f t="shared" si="9"/>
        <v>7800</v>
      </c>
      <c r="U41" s="75">
        <f t="shared" si="10"/>
        <v>7800</v>
      </c>
      <c r="V41" s="75">
        <f t="shared" ca="1" si="11"/>
        <v>24634.799999999999</v>
      </c>
      <c r="W41" s="58">
        <f t="shared" ca="1" si="12"/>
        <v>3.7546138573941179E-3</v>
      </c>
      <c r="X41" s="59" t="str">
        <f t="shared" si="17"/>
        <v/>
      </c>
      <c r="Y41" s="59" t="str">
        <f t="shared" si="17"/>
        <v/>
      </c>
      <c r="Z41" s="59" t="str">
        <f t="shared" si="17"/>
        <v/>
      </c>
      <c r="AA41" s="59" t="str">
        <f t="shared" si="17"/>
        <v/>
      </c>
      <c r="AB41" s="59">
        <f t="shared" si="17"/>
        <v>8779</v>
      </c>
      <c r="AC41" s="59" t="str">
        <f t="shared" si="17"/>
        <v/>
      </c>
      <c r="AD41" s="59" t="str">
        <f t="shared" si="17"/>
        <v/>
      </c>
      <c r="AE41" s="59" t="str">
        <f t="shared" si="17"/>
        <v/>
      </c>
      <c r="AF41" s="59" t="str">
        <f t="shared" si="17"/>
        <v/>
      </c>
      <c r="AG41" s="59" t="str">
        <f t="shared" si="17"/>
        <v/>
      </c>
      <c r="AH41" s="59" t="str">
        <f t="shared" si="17"/>
        <v/>
      </c>
      <c r="AI41" s="59" t="str">
        <f t="shared" si="17"/>
        <v/>
      </c>
      <c r="AJ41" s="59" t="str">
        <f t="shared" si="17"/>
        <v/>
      </c>
      <c r="AK41" s="59" t="str">
        <f t="shared" si="17"/>
        <v/>
      </c>
      <c r="AL41" s="59" t="str">
        <f t="shared" si="17"/>
        <v/>
      </c>
      <c r="AM41" s="59" t="str">
        <f t="shared" si="17"/>
        <v/>
      </c>
      <c r="AN41" s="59" t="str">
        <f t="shared" si="17"/>
        <v/>
      </c>
      <c r="AO41" s="59" t="str">
        <f t="shared" si="17"/>
        <v/>
      </c>
      <c r="AP41" s="59" t="str">
        <f t="shared" si="17"/>
        <v/>
      </c>
      <c r="AQ41" s="59" t="str">
        <f t="shared" si="17"/>
        <v/>
      </c>
      <c r="AR41" s="59" t="str">
        <f t="shared" si="17"/>
        <v/>
      </c>
      <c r="AS41" s="59" t="str">
        <f t="shared" si="17"/>
        <v/>
      </c>
      <c r="AT41" s="59" t="str">
        <f t="shared" si="17"/>
        <v/>
      </c>
      <c r="AU41" s="59" t="str">
        <f t="shared" si="17"/>
        <v/>
      </c>
      <c r="AV41" s="59">
        <f t="shared" si="17"/>
        <v>15855.8</v>
      </c>
      <c r="AW41" s="59" t="str">
        <f t="shared" si="17"/>
        <v/>
      </c>
      <c r="AX41" s="59" t="str">
        <f t="shared" si="17"/>
        <v/>
      </c>
      <c r="AY41" s="59" t="str">
        <f t="shared" si="17"/>
        <v/>
      </c>
      <c r="AZ41" s="59" t="str">
        <f t="shared" si="17"/>
        <v/>
      </c>
      <c r="BA41" s="59" t="str">
        <f t="shared" si="17"/>
        <v/>
      </c>
      <c r="BB41" s="59" t="str">
        <f t="shared" si="17"/>
        <v/>
      </c>
    </row>
    <row r="42" spans="1:154" s="2" customFormat="1" ht="39.75" customHeight="1" x14ac:dyDescent="0.25">
      <c r="A42" s="15"/>
      <c r="B42" s="15" t="s">
        <v>99</v>
      </c>
      <c r="C42" s="15" t="s">
        <v>99</v>
      </c>
      <c r="D42" s="15" t="s">
        <v>99</v>
      </c>
      <c r="E42" s="15" t="s">
        <v>99</v>
      </c>
      <c r="F42" s="15" t="s">
        <v>99</v>
      </c>
      <c r="G42" s="15" t="s">
        <v>99</v>
      </c>
      <c r="H42" s="15"/>
      <c r="I42" s="15"/>
      <c r="J42" s="15" t="s">
        <v>99</v>
      </c>
      <c r="K42" s="16" t="s">
        <v>99</v>
      </c>
      <c r="L42" s="16" t="s">
        <v>99</v>
      </c>
      <c r="M42" s="15" t="s">
        <v>99</v>
      </c>
      <c r="N42" s="15" t="s">
        <v>99</v>
      </c>
      <c r="O42" s="16" t="s">
        <v>99</v>
      </c>
      <c r="P42" s="14"/>
      <c r="Q42" s="16" t="s">
        <v>99</v>
      </c>
      <c r="R42" s="67" t="s">
        <v>99</v>
      </c>
      <c r="S42" s="17" t="s">
        <v>99</v>
      </c>
      <c r="T42" s="16" t="s">
        <v>99</v>
      </c>
      <c r="U42" s="16"/>
      <c r="V42" s="16" t="s">
        <v>99</v>
      </c>
      <c r="W42" s="16" t="s">
        <v>99</v>
      </c>
      <c r="X42" s="16" t="s">
        <v>99</v>
      </c>
      <c r="Y42" s="16" t="s">
        <v>99</v>
      </c>
      <c r="Z42" s="16" t="s">
        <v>99</v>
      </c>
      <c r="AA42" s="16" t="s">
        <v>99</v>
      </c>
      <c r="AB42" s="16" t="s">
        <v>99</v>
      </c>
      <c r="AC42" s="16" t="s">
        <v>99</v>
      </c>
      <c r="AD42" s="16" t="s">
        <v>99</v>
      </c>
      <c r="AE42" s="16" t="s">
        <v>99</v>
      </c>
      <c r="AF42" s="16" t="s">
        <v>99</v>
      </c>
      <c r="AG42" s="16" t="s">
        <v>99</v>
      </c>
      <c r="AH42" s="16" t="s">
        <v>99</v>
      </c>
      <c r="AI42" s="16" t="s">
        <v>99</v>
      </c>
      <c r="AJ42" s="16" t="s">
        <v>99</v>
      </c>
      <c r="AK42" s="16" t="s">
        <v>99</v>
      </c>
      <c r="AL42" s="16" t="s">
        <v>99</v>
      </c>
      <c r="AM42" s="16" t="s">
        <v>99</v>
      </c>
      <c r="AN42" s="16" t="s">
        <v>99</v>
      </c>
      <c r="AO42" s="16" t="s">
        <v>99</v>
      </c>
      <c r="AP42" s="16" t="s">
        <v>99</v>
      </c>
      <c r="AQ42" s="16" t="s">
        <v>99</v>
      </c>
      <c r="AR42" s="16" t="s">
        <v>99</v>
      </c>
      <c r="AS42" s="16" t="s">
        <v>99</v>
      </c>
      <c r="AT42" s="16" t="s">
        <v>99</v>
      </c>
      <c r="AU42" s="16" t="s">
        <v>99</v>
      </c>
      <c r="AV42" s="16" t="s">
        <v>99</v>
      </c>
      <c r="AW42" s="16" t="s">
        <v>99</v>
      </c>
      <c r="AX42" s="16" t="s">
        <v>99</v>
      </c>
      <c r="AY42" s="16" t="s">
        <v>99</v>
      </c>
      <c r="AZ42" s="16" t="s">
        <v>99</v>
      </c>
      <c r="BA42" s="16" t="s">
        <v>99</v>
      </c>
      <c r="BB42" s="14"/>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row>
    <row r="43" spans="1:154" s="3" customFormat="1" ht="39.950000000000003" customHeight="1" x14ac:dyDescent="0.25">
      <c r="A43" s="10"/>
      <c r="B43" s="71"/>
      <c r="C43" s="10"/>
      <c r="D43" s="10"/>
      <c r="E43" s="10"/>
      <c r="F43" s="10"/>
      <c r="G43" s="10"/>
      <c r="H43" s="10"/>
      <c r="I43" s="10"/>
      <c r="J43" s="64"/>
      <c r="K43" s="74"/>
      <c r="L43" s="74"/>
      <c r="M43" s="10"/>
      <c r="N43" s="18" t="str">
        <f ca="1">"Anticipated Expenditures, By Year ("&amp;Currency_Symbol&amp;TEXT($V$43,"#,##0")&amp;" over "&amp;Study_Length&amp;" years)"</f>
        <v>Anticipated Expenditures, By Year ($6,561,207 over 30 years)</v>
      </c>
      <c r="O43" s="10"/>
      <c r="P43" s="10"/>
      <c r="Q43" s="10"/>
      <c r="R43" s="68"/>
      <c r="S43" s="71"/>
      <c r="T43" s="74"/>
      <c r="U43" s="74"/>
      <c r="V43" s="74">
        <f ca="1">SUM(OFFSET(X43,,,1,Study_Length+1))</f>
        <v>6561207.3399999999</v>
      </c>
      <c r="W43" s="10"/>
      <c r="X43" s="8">
        <f t="shared" ref="X43:BB43" si="18">SUM(X10:X42)</f>
        <v>0</v>
      </c>
      <c r="Y43" s="8">
        <f t="shared" si="18"/>
        <v>8116.4</v>
      </c>
      <c r="Z43" s="8">
        <f t="shared" si="18"/>
        <v>545859.49999999988</v>
      </c>
      <c r="AA43" s="8">
        <f t="shared" si="18"/>
        <v>505850.64999999997</v>
      </c>
      <c r="AB43" s="8">
        <f t="shared" si="18"/>
        <v>19471.3</v>
      </c>
      <c r="AC43" s="8">
        <f t="shared" si="18"/>
        <v>267328.58</v>
      </c>
      <c r="AD43" s="8">
        <f t="shared" si="18"/>
        <v>120742.6</v>
      </c>
      <c r="AE43" s="8">
        <f t="shared" si="18"/>
        <v>38261.4</v>
      </c>
      <c r="AF43" s="8">
        <f t="shared" si="18"/>
        <v>0</v>
      </c>
      <c r="AG43" s="8">
        <f t="shared" si="18"/>
        <v>97505.73000000001</v>
      </c>
      <c r="AH43" s="8">
        <f t="shared" si="18"/>
        <v>26206.400000000001</v>
      </c>
      <c r="AI43" s="8">
        <f t="shared" si="18"/>
        <v>377169.1</v>
      </c>
      <c r="AJ43" s="8">
        <f t="shared" si="18"/>
        <v>388484.2</v>
      </c>
      <c r="AK43" s="8">
        <f t="shared" si="18"/>
        <v>21925.200000000001</v>
      </c>
      <c r="AL43" s="8">
        <f t="shared" si="18"/>
        <v>222464.1</v>
      </c>
      <c r="AM43" s="8">
        <f t="shared" si="18"/>
        <v>0</v>
      </c>
      <c r="AN43" s="8">
        <f t="shared" si="18"/>
        <v>401016.10000000003</v>
      </c>
      <c r="AO43" s="8">
        <f t="shared" si="18"/>
        <v>376650.9</v>
      </c>
      <c r="AP43" s="8">
        <f t="shared" si="18"/>
        <v>0</v>
      </c>
      <c r="AQ43" s="8">
        <f t="shared" si="18"/>
        <v>0</v>
      </c>
      <c r="AR43" s="8">
        <f t="shared" si="18"/>
        <v>0</v>
      </c>
      <c r="AS43" s="8">
        <f t="shared" si="18"/>
        <v>54981</v>
      </c>
      <c r="AT43" s="8">
        <f t="shared" si="18"/>
        <v>37555.599999999999</v>
      </c>
      <c r="AU43" s="8">
        <f t="shared" si="18"/>
        <v>0</v>
      </c>
      <c r="AV43" s="8">
        <f t="shared" si="18"/>
        <v>15855.8</v>
      </c>
      <c r="AW43" s="8">
        <f t="shared" si="18"/>
        <v>1525997.6399999997</v>
      </c>
      <c r="AX43" s="8">
        <f t="shared" si="18"/>
        <v>934936.2</v>
      </c>
      <c r="AY43" s="8">
        <f t="shared" si="18"/>
        <v>95515.4</v>
      </c>
      <c r="AZ43" s="8">
        <f t="shared" si="18"/>
        <v>117599.5</v>
      </c>
      <c r="BA43" s="8">
        <f t="shared" si="18"/>
        <v>215107.34</v>
      </c>
      <c r="BB43" s="8">
        <f t="shared" si="18"/>
        <v>146606.70000000001</v>
      </c>
    </row>
    <row r="2027" spans="1:54" ht="18" x14ac:dyDescent="0.25">
      <c r="A2027" s="7"/>
    </row>
    <row r="2029" spans="1:54" ht="18" x14ac:dyDescent="0.25">
      <c r="A2029" s="7">
        <f ca="1">IF(OFFSET($B2029,IF(AND($K2029=0,NOT(ISBLANK($K2029))),-4,-3),-1)=0,1,0)</f>
        <v>1</v>
      </c>
      <c r="B2029" s="78"/>
      <c r="C2029" s="11"/>
      <c r="D2029" s="7"/>
      <c r="E2029" s="12"/>
      <c r="F2029" s="13"/>
      <c r="G2029" s="12"/>
      <c r="H2029" s="9"/>
      <c r="I2029" s="9"/>
      <c r="J2029" s="65"/>
      <c r="K2029" s="75"/>
      <c r="L2029" s="75"/>
      <c r="M2029" s="3"/>
      <c r="N2029" s="3"/>
      <c r="O2029" s="57"/>
      <c r="P2029" s="57"/>
      <c r="Q2029" s="57"/>
      <c r="R2029" s="69"/>
      <c r="S2029" s="72"/>
      <c r="T2029" s="75"/>
      <c r="U2029" s="75"/>
      <c r="V2029" s="75"/>
      <c r="W2029" s="58"/>
      <c r="X2029" s="59"/>
      <c r="Y2029" s="59"/>
      <c r="Z2029" s="59"/>
      <c r="AA2029" s="59"/>
      <c r="AB2029" s="59"/>
      <c r="AC2029" s="59"/>
      <c r="AD2029" s="59"/>
      <c r="AE2029" s="59"/>
      <c r="AF2029" s="59"/>
      <c r="AG2029" s="59"/>
      <c r="AH2029" s="59"/>
      <c r="AI2029" s="59"/>
      <c r="AJ2029" s="59"/>
      <c r="AK2029" s="59"/>
      <c r="AL2029" s="59"/>
      <c r="AM2029" s="59"/>
      <c r="AN2029" s="59"/>
      <c r="AO2029" s="59"/>
      <c r="AP2029" s="59"/>
      <c r="AQ2029" s="59"/>
      <c r="AR2029" s="59"/>
      <c r="AS2029" s="59"/>
      <c r="AT2029" s="59"/>
      <c r="AU2029" s="59"/>
      <c r="AV2029" s="59"/>
      <c r="AW2029" s="59"/>
      <c r="AX2029" s="59"/>
      <c r="AY2029" s="59"/>
      <c r="AZ2029" s="59"/>
      <c r="BA2029" s="59"/>
      <c r="BB2029" s="59"/>
    </row>
    <row r="2030" spans="1:54" ht="39.950000000000003" customHeight="1" x14ac:dyDescent="0.25">
      <c r="A2030" s="7">
        <f ca="1">IF(OFFSET($B2030,IF(AND($K2030=0,NOT(ISBLANK($K2030))),-4,-3),-1)=0,1,0)</f>
        <v>1</v>
      </c>
      <c r="B2030" s="78"/>
      <c r="C2030" s="11"/>
      <c r="D2030" s="7">
        <f>(($E2030-1)*$C2030)+1</f>
        <v>1</v>
      </c>
      <c r="E2030" s="12"/>
      <c r="F2030" s="13"/>
      <c r="G2030" s="12"/>
      <c r="H2030" s="9"/>
      <c r="I2030" s="9"/>
      <c r="J2030" s="65"/>
      <c r="K2030" s="75"/>
      <c r="L2030" s="75" t="e">
        <f>IF(M2030="Allowance",1,ROUND(K2030*B2030/E2030/H2030,0)*H2030)</f>
        <v>#DIV/0!</v>
      </c>
      <c r="M2030" s="3"/>
      <c r="N2030" s="3"/>
      <c r="O2030" s="57" t="e">
        <f>IF($F2030&gt;$BB$9,$F2030,Current_Fiscal_Year+MATCH(TRUE,INDEX($X2030:$BB2030&lt;&gt;"",0),0)-1)</f>
        <v>#N/A</v>
      </c>
      <c r="P2030" s="57"/>
      <c r="Q2030" s="57" t="e">
        <f>$O2030-Current_Fiscal_Year&amp;IF($B2030&lt;1," to "&amp;Study_Length&amp;"+",IF( $E2030&gt;1," to "&amp;IF($O2030-Current_Fiscal_Year+$D2030-1&gt;Study_Length,Study_Length&amp;"+",$O2030-Current_Fiscal_Year+$D2030-1),""))</f>
        <v>#N/A</v>
      </c>
      <c r="R2030" s="69"/>
      <c r="S2030" s="72"/>
      <c r="T2030" s="75" t="e">
        <f>$L2030*$R2030*$S2030</f>
        <v>#DIV/0!</v>
      </c>
      <c r="U2030" s="75">
        <f>$K2030*$R2030*$S2030</f>
        <v>0</v>
      </c>
      <c r="V2030" s="75">
        <f ca="1">SUM(OFFSET($X2030,,,1,Study_Length+1))</f>
        <v>0</v>
      </c>
      <c r="W2030" s="58">
        <f ca="1">$V2030/Total_Study_Expenditures</f>
        <v>0</v>
      </c>
      <c r="X2030" s="59" t="str">
        <f t="shared" ref="X2030:BB2030" si="19">IFERROR(IF(OR(X$8 = ($F2030 - Current_Fiscal_Year),AND(MOD($F2030-X$9,$G2030)=0,X$9&gt;$F2030)),IF(secondaryInflationYear- Current_Fiscal_Year &gt;=X$8,ROUND($L2030* $R2030*$S2030*((1 + X$7)^X$8),1),ROUND($L2030* $R2030*$S2030*(((1+secondaryInflation)^(secondaryInflationYear-Current_Fiscal_Year)) * ((1+X$7)^(X$8-(secondaryInflationYear - Current_Fiscal_Year)))),1)),IF(AND($D2030&lt;&gt;1,X$8 &gt; ($F2030 - Current_Fiscal_Year),(X$8 - (($F2030 - Current_Fiscal_Year)+$G2030*INT(((X$8 - ($F2030 - Current_Fiscal_Year)) / $G2030))))/((($D2030 - $E2030)/($E2030-1))+1) = INT((X$8 - (($F2030 - Current_Fiscal_Year)+$G2030*INT(((X$8 - ($F2030 - Current_Fiscal_Year)) / $G2030))))/((($D2030 - $E2030)/($E2030-1))+1)), (X$8 - (($F2030 - Current_Fiscal_Year)+$G2030*INT(((X$8 - ($F2030 - Current_Fiscal_Year)) / $G2030)))) &lt;$D2030),IF(secondaryInflationYear- Current_Fiscal_Year &gt;=X$8,ROUND($L2030* $R2030*$S2030*((1 + X$7)^X$8),1),ROUND($L2030* $R2030*$S2030*(((1+secondaryInflation)^(secondaryInflationYear-Current_Fiscal_Year)) * ((1+X$7)^(X$8-(secondaryInflationYear - Current_Fiscal_Year)))),1)),"")),"")</f>
        <v/>
      </c>
      <c r="Y2030" s="59" t="str">
        <f t="shared" si="19"/>
        <v/>
      </c>
      <c r="Z2030" s="59" t="str">
        <f t="shared" si="19"/>
        <v/>
      </c>
      <c r="AA2030" s="59" t="str">
        <f t="shared" si="19"/>
        <v/>
      </c>
      <c r="AB2030" s="59" t="str">
        <f t="shared" si="19"/>
        <v/>
      </c>
      <c r="AC2030" s="59" t="str">
        <f t="shared" si="19"/>
        <v/>
      </c>
      <c r="AD2030" s="59" t="str">
        <f t="shared" si="19"/>
        <v/>
      </c>
      <c r="AE2030" s="59" t="str">
        <f t="shared" si="19"/>
        <v/>
      </c>
      <c r="AF2030" s="59" t="str">
        <f t="shared" si="19"/>
        <v/>
      </c>
      <c r="AG2030" s="59" t="str">
        <f t="shared" si="19"/>
        <v/>
      </c>
      <c r="AH2030" s="59" t="str">
        <f t="shared" si="19"/>
        <v/>
      </c>
      <c r="AI2030" s="59" t="str">
        <f t="shared" si="19"/>
        <v/>
      </c>
      <c r="AJ2030" s="59" t="str">
        <f t="shared" si="19"/>
        <v/>
      </c>
      <c r="AK2030" s="59" t="str">
        <f t="shared" si="19"/>
        <v/>
      </c>
      <c r="AL2030" s="59" t="str">
        <f t="shared" si="19"/>
        <v/>
      </c>
      <c r="AM2030" s="59" t="str">
        <f t="shared" si="19"/>
        <v/>
      </c>
      <c r="AN2030" s="59" t="str">
        <f t="shared" si="19"/>
        <v/>
      </c>
      <c r="AO2030" s="59" t="str">
        <f t="shared" si="19"/>
        <v/>
      </c>
      <c r="AP2030" s="59" t="str">
        <f t="shared" si="19"/>
        <v/>
      </c>
      <c r="AQ2030" s="59" t="str">
        <f t="shared" si="19"/>
        <v/>
      </c>
      <c r="AR2030" s="59" t="str">
        <f t="shared" si="19"/>
        <v/>
      </c>
      <c r="AS2030" s="59" t="str">
        <f t="shared" si="19"/>
        <v/>
      </c>
      <c r="AT2030" s="59" t="str">
        <f t="shared" si="19"/>
        <v/>
      </c>
      <c r="AU2030" s="59" t="str">
        <f t="shared" si="19"/>
        <v/>
      </c>
      <c r="AV2030" s="59" t="str">
        <f t="shared" si="19"/>
        <v/>
      </c>
      <c r="AW2030" s="59" t="str">
        <f t="shared" si="19"/>
        <v/>
      </c>
      <c r="AX2030" s="59" t="str">
        <f t="shared" si="19"/>
        <v/>
      </c>
      <c r="AY2030" s="59" t="str">
        <f t="shared" si="19"/>
        <v/>
      </c>
      <c r="AZ2030" s="59" t="str">
        <f t="shared" si="19"/>
        <v/>
      </c>
      <c r="BA2030" s="59" t="str">
        <f t="shared" si="19"/>
        <v/>
      </c>
      <c r="BB2030" s="59" t="str">
        <f t="shared" si="19"/>
        <v/>
      </c>
    </row>
  </sheetData>
  <mergeCells count="5">
    <mergeCell ref="Z2:AM2"/>
    <mergeCell ref="Z4:AE4"/>
    <mergeCell ref="P7:Q7"/>
    <mergeCell ref="R7:U7"/>
    <mergeCell ref="P8:Q8"/>
  </mergeCells>
  <conditionalFormatting sqref="J11:BB41 J2029:BB2030">
    <cfRule type="expression" dxfId="3" priority="95">
      <formula>$O11&gt;$BB$9</formula>
    </cfRule>
    <cfRule type="expression" dxfId="2" priority="97">
      <formula>$A11=0</formula>
    </cfRule>
    <cfRule type="expression" dxfId="1" priority="98">
      <formula>$A11=1</formula>
    </cfRule>
  </conditionalFormatting>
  <conditionalFormatting sqref="Y4:Z4 AF4:AG4">
    <cfRule type="expression" dxfId="0" priority="96">
      <formula>IF(Y4="",FALSE,TRUE)</formula>
    </cfRule>
  </conditionalFormatting>
  <pageMargins left="0.7" right="0.7" top="0.75" bottom="0.75" header="0.3" footer="0.3"/>
  <pageSetup scale="17"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D9A3-78CE-4301-867A-AB1A2507B7E7}">
  <sheetPr>
    <tabColor rgb="FF538DD5"/>
  </sheetPr>
  <dimension ref="A1:AI1005"/>
  <sheetViews>
    <sheetView view="pageBreakPreview" topLeftCell="A16" zoomScale="60" zoomScaleNormal="70" workbookViewId="0">
      <selection activeCell="J21" sqref="J21"/>
    </sheetView>
  </sheetViews>
  <sheetFormatPr defaultRowHeight="15" x14ac:dyDescent="0.25"/>
  <cols>
    <col min="1" max="1" width="6.7109375" customWidth="1"/>
    <col min="2" max="2" width="6.5703125" customWidth="1"/>
    <col min="3" max="3" width="42.85546875" customWidth="1"/>
    <col min="4" max="4" width="12.7109375" customWidth="1"/>
    <col min="5" max="20" width="16.7109375" customWidth="1"/>
    <col min="24" max="24" width="17.7109375" customWidth="1"/>
    <col min="25" max="25" width="21.28515625" customWidth="1"/>
  </cols>
  <sheetData>
    <row r="1" spans="1:26" ht="30" x14ac:dyDescent="0.4">
      <c r="A1" s="185"/>
      <c r="B1" s="185"/>
      <c r="C1" s="186" t="s">
        <v>100</v>
      </c>
      <c r="D1" s="187"/>
      <c r="E1" s="187"/>
      <c r="F1" s="188"/>
      <c r="G1" s="188"/>
      <c r="H1" s="188"/>
      <c r="I1" s="188"/>
      <c r="J1" s="188"/>
      <c r="K1" s="100"/>
      <c r="L1" s="100"/>
      <c r="M1" s="100"/>
      <c r="N1" s="100"/>
      <c r="O1" s="100"/>
      <c r="P1" s="100"/>
      <c r="Q1" s="100"/>
      <c r="R1" s="100"/>
      <c r="S1" s="100"/>
      <c r="T1" s="100"/>
    </row>
    <row r="2" spans="1:26" ht="30" x14ac:dyDescent="0.4">
      <c r="A2" s="185"/>
      <c r="B2" s="185"/>
      <c r="C2" s="103"/>
      <c r="D2" s="189"/>
      <c r="E2" s="190" t="s">
        <v>101</v>
      </c>
      <c r="F2" s="188"/>
      <c r="G2" s="188"/>
      <c r="H2" s="188"/>
      <c r="I2" s="188"/>
      <c r="J2" s="191"/>
      <c r="K2" s="100"/>
      <c r="L2" s="100"/>
      <c r="M2" s="100"/>
      <c r="N2" s="100"/>
      <c r="O2" s="100"/>
      <c r="P2" s="100"/>
      <c r="Q2" s="100"/>
      <c r="R2" s="100"/>
      <c r="S2" s="100"/>
      <c r="T2" s="100"/>
    </row>
    <row r="3" spans="1:26" ht="19.5" x14ac:dyDescent="0.25">
      <c r="A3" s="192"/>
      <c r="B3" s="192"/>
      <c r="C3" s="193" t="s">
        <v>102</v>
      </c>
      <c r="D3" s="194"/>
      <c r="E3" s="195" t="s">
        <v>101</v>
      </c>
      <c r="F3" s="100"/>
      <c r="G3" s="100"/>
      <c r="H3" s="100"/>
      <c r="I3" s="100"/>
      <c r="J3" s="100"/>
      <c r="K3" s="100"/>
      <c r="L3" s="100"/>
      <c r="M3" s="100"/>
      <c r="N3" s="100"/>
      <c r="O3" s="100"/>
      <c r="P3" s="100"/>
      <c r="Q3" s="100"/>
      <c r="R3" s="100"/>
      <c r="S3" s="100"/>
      <c r="T3" s="100"/>
    </row>
    <row r="4" spans="1:26" ht="19.5" x14ac:dyDescent="0.25">
      <c r="A4" s="196"/>
      <c r="B4" s="196"/>
      <c r="C4" s="197" t="s">
        <v>194</v>
      </c>
      <c r="D4" s="198"/>
      <c r="E4" s="192"/>
      <c r="F4" s="110"/>
      <c r="G4" s="199"/>
      <c r="H4" s="199"/>
      <c r="I4" s="199"/>
      <c r="J4" s="199"/>
      <c r="K4" s="100"/>
      <c r="L4" s="100"/>
      <c r="M4" s="100"/>
      <c r="N4" s="100"/>
      <c r="O4" s="100"/>
      <c r="P4" s="100"/>
      <c r="Q4" s="100"/>
      <c r="R4" s="100"/>
      <c r="S4" s="100"/>
      <c r="T4" s="100"/>
    </row>
    <row r="5" spans="1:26" ht="19.5" x14ac:dyDescent="0.25">
      <c r="A5" s="196" t="s">
        <v>82</v>
      </c>
      <c r="B5" s="196"/>
      <c r="C5" s="197" t="s">
        <v>195</v>
      </c>
      <c r="D5" s="192"/>
      <c r="E5" s="192"/>
      <c r="F5" s="200" t="s">
        <v>103</v>
      </c>
      <c r="G5" s="192"/>
      <c r="H5" s="192"/>
      <c r="I5" s="192"/>
      <c r="J5" s="192"/>
      <c r="K5" s="100"/>
      <c r="L5" s="100"/>
      <c r="M5" s="100"/>
      <c r="N5" s="100"/>
      <c r="O5" s="100"/>
      <c r="P5" s="100"/>
      <c r="Q5" s="100"/>
      <c r="R5" s="100"/>
      <c r="S5" s="100"/>
      <c r="T5" s="100"/>
    </row>
    <row r="6" spans="1:26" ht="20.25" thickBot="1" x14ac:dyDescent="0.3">
      <c r="A6" s="196"/>
      <c r="B6" s="196"/>
      <c r="C6" s="160" t="s">
        <v>196</v>
      </c>
      <c r="D6" s="198"/>
      <c r="E6" s="201">
        <f>Current_Fiscal_Year</f>
        <v>2025</v>
      </c>
      <c r="F6" s="202">
        <f>Current_Fiscal_Year+1</f>
        <v>2026</v>
      </c>
      <c r="G6" s="202">
        <f>F6+1</f>
        <v>2027</v>
      </c>
      <c r="H6" s="202">
        <f t="shared" ref="H6:T6" si="0">G6+1</f>
        <v>2028</v>
      </c>
      <c r="I6" s="202">
        <f t="shared" si="0"/>
        <v>2029</v>
      </c>
      <c r="J6" s="202">
        <f t="shared" si="0"/>
        <v>2030</v>
      </c>
      <c r="K6" s="202">
        <f t="shared" si="0"/>
        <v>2031</v>
      </c>
      <c r="L6" s="202">
        <f t="shared" si="0"/>
        <v>2032</v>
      </c>
      <c r="M6" s="202">
        <f t="shared" si="0"/>
        <v>2033</v>
      </c>
      <c r="N6" s="202">
        <f t="shared" si="0"/>
        <v>2034</v>
      </c>
      <c r="O6" s="202">
        <f t="shared" si="0"/>
        <v>2035</v>
      </c>
      <c r="P6" s="202">
        <f t="shared" si="0"/>
        <v>2036</v>
      </c>
      <c r="Q6" s="202">
        <f t="shared" si="0"/>
        <v>2037</v>
      </c>
      <c r="R6" s="202">
        <f t="shared" si="0"/>
        <v>2038</v>
      </c>
      <c r="S6" s="202">
        <f t="shared" si="0"/>
        <v>2039</v>
      </c>
      <c r="T6" s="202">
        <f t="shared" si="0"/>
        <v>2040</v>
      </c>
      <c r="Z6" s="39"/>
    </row>
    <row r="7" spans="1:26" ht="18" x14ac:dyDescent="0.25">
      <c r="A7" s="196"/>
      <c r="B7" s="203" t="s">
        <v>104</v>
      </c>
      <c r="C7" s="204"/>
      <c r="D7" s="205" t="s">
        <v>105</v>
      </c>
      <c r="E7" s="206">
        <f>IF(Y56="Yes","N/A",Y54)</f>
        <v>275731.36</v>
      </c>
      <c r="F7" s="207">
        <f t="shared" ref="F7:T7" ca="1" si="1">E16</f>
        <v>492515.36</v>
      </c>
      <c r="G7" s="207">
        <f t="shared" ca="1" si="1"/>
        <v>729414.96</v>
      </c>
      <c r="H7" s="207">
        <f t="shared" ca="1" si="1"/>
        <v>427452.46000000008</v>
      </c>
      <c r="I7" s="207">
        <f t="shared" ca="1" si="1"/>
        <v>155629.81000000011</v>
      </c>
      <c r="J7" s="207">
        <f t="shared" ca="1" si="1"/>
        <v>280662.51000000013</v>
      </c>
      <c r="K7" s="207">
        <f t="shared" ca="1" si="1"/>
        <v>162047.93000000011</v>
      </c>
      <c r="L7" s="207">
        <f t="shared" ca="1" si="1"/>
        <v>192706.3300000001</v>
      </c>
      <c r="M7" s="207">
        <f t="shared" ca="1" si="1"/>
        <v>312839.93000000005</v>
      </c>
      <c r="N7" s="207">
        <f t="shared" ca="1" si="1"/>
        <v>480687.93000000005</v>
      </c>
      <c r="O7" s="207">
        <f t="shared" ca="1" si="1"/>
        <v>559879.20000000007</v>
      </c>
      <c r="P7" s="207">
        <f t="shared" ca="1" si="1"/>
        <v>719272.8</v>
      </c>
      <c r="Q7" s="207">
        <f t="shared" ca="1" si="1"/>
        <v>532126.70000000007</v>
      </c>
      <c r="R7" s="207">
        <f t="shared" ca="1" si="1"/>
        <v>332106.50000000006</v>
      </c>
      <c r="S7" s="207">
        <f t="shared" ca="1" si="1"/>
        <v>503350.3</v>
      </c>
      <c r="T7" s="207">
        <f t="shared" ca="1" si="1"/>
        <v>482034.20000000007</v>
      </c>
    </row>
    <row r="8" spans="1:26" ht="18" x14ac:dyDescent="0.25">
      <c r="A8" s="196"/>
      <c r="B8" s="19"/>
      <c r="C8" s="20" t="s">
        <v>106</v>
      </c>
      <c r="D8" s="21"/>
      <c r="E8" s="22">
        <f>Y60/Frequency_of_Contributions_Number*Funding_Current_Contributions</f>
        <v>204655</v>
      </c>
      <c r="F8" s="22">
        <f ca="1">IF($Y$53-1=F6,$Y$58,ROUND(IF(AND(NOT(ISBLANK($R$22)),NOT(ISBLANK($R$21)),F6=$R$22),$R$21,IF(AND(NOT(ISBLANK($T$22)),NOT(ISBLANK($T$21)),F6=$T$22),$T$21,IF(AND(NOT(ISBLANK($J$21)),$Y$53=F6),$J$21,IF(AND(NOT(ISBLANK($L$22)),NOT(ISBLANK($L$21)),F6&lt;$Y$53+$L$22),$L$21+INDIRECT("contributions_year"&amp;F6-1-$Y$52)+IF(F6-1-$Y$52=0,(1-($Y$60/$Y$61))*$Y$57,0),IF(AND(NOT(ISBLANK($N$21)),NOT(ISBLANK($N$22)),NOT(ISBLANK($N$23)),$N$22&lt;=F6,F6&lt;=$N$23),$N$21,IF(AND(NOT(ISBLANK($P$21)),NOT(ISBLANK($P$22)),NOT(ISBLANK($P$23)),$P$22&lt;=F6,F6&lt;=$P$23),$P$21,(INDIRECT("contributions_year"&amp;F6-1-$Y$52)+IF(F6-1-$Y$52=0,(1-($Y$60/$Y$61))*$Y$57,0))*(1+$Y$59)))))))/$Y$62,0)*$Y$62)</f>
        <v>224000</v>
      </c>
      <c r="G8" s="22">
        <f ca="1">IF($Y$53-1=G6,$Y$58,ROUND(IF(AND(NOT(ISBLANK($R$22)),NOT(ISBLANK($R$21)),G6=$R$22),$R$21,IF(AND(NOT(ISBLANK($T$22)),NOT(ISBLANK($T$21)),G6=$T$22),$T$21,IF(AND(NOT(ISBLANK($J$21)),$Y$53=G6),$J$21,IF(AND(NOT(ISBLANK($L$22)),NOT(ISBLANK($L$21)),G6&lt;$Y$53+$L$22),$L$21+INDIRECT("contributions_year"&amp;G6-1-$Y$52)+IF(G6-1-$Y$52=0,(1-($Y$60/$Y$61))*$Y$57,0),IF(AND(NOT(ISBLANK($N$21)),NOT(ISBLANK($N$22)),NOT(ISBLANK($N$23)),$N$22&lt;=G6,G6&lt;=$N$23),$N$21,IF(AND(NOT(ISBLANK($P$21)),NOT(ISBLANK($P$22)),NOT(ISBLANK($P$23)),$P$22&lt;=G6,G6&lt;=$P$23),$P$21,(INDIRECT("contributions_year"&amp;G6-1-$Y$52)+IF(G6-1-$Y$52=0,(1-($Y$60/$Y$61))*$Y$57,0))*(1+$Y$59)))))))/$Y$62,0)*$Y$62)</f>
        <v>224000</v>
      </c>
      <c r="H8" s="22">
        <f t="shared" ref="H8:T8" ca="1" si="2">IF($Y$53-1=H6,$Y$58,ROUND(IF(AND(NOT(ISBLANK($R$22)),NOT(ISBLANK($R$21)),H6=$R$22),$R$21,IF(AND(NOT(ISBLANK($T$22)),NOT(ISBLANK($T$21)),H6=$T$22),$T$21,IF(AND(NOT(ISBLANK($J$21)),$Y$53=H6),$J$21,IF(AND(NOT(ISBLANK($L$22)),NOT(ISBLANK($L$21)),H6&lt;$Y$53+$L$22),$L$21+INDIRECT("contributions_year"&amp;H6-1-$Y$52)+IF(H6-1-$Y$52=0,(1-($Y$60/$Y$61))*$Y$57,0),IF(AND(NOT(ISBLANK($N$21)),NOT(ISBLANK($N$22)),NOT(ISBLANK($N$23)),$N$22&lt;=H6,H6&lt;=$N$23),$N$21,IF(AND(NOT(ISBLANK($P$21)),NOT(ISBLANK($P$22)),NOT(ISBLANK($P$23)),$P$22&lt;=H6,H6&lt;=$P$23),$P$21,(INDIRECT("contributions_year"&amp;H6-1-$Y$52)+IF(H6-1-$Y$52=0,(1-($Y$60/$Y$61))*$Y$57,0))*(1+$Y$59)))))))/$Y$62,0)*$Y$62)</f>
        <v>224000</v>
      </c>
      <c r="I8" s="22">
        <f t="shared" ca="1" si="2"/>
        <v>137000</v>
      </c>
      <c r="J8" s="22">
        <f t="shared" ca="1" si="2"/>
        <v>141100</v>
      </c>
      <c r="K8" s="22">
        <f t="shared" ca="1" si="2"/>
        <v>145300</v>
      </c>
      <c r="L8" s="22">
        <f t="shared" ca="1" si="2"/>
        <v>149700</v>
      </c>
      <c r="M8" s="22">
        <f t="shared" ca="1" si="2"/>
        <v>154200</v>
      </c>
      <c r="N8" s="22">
        <f t="shared" ca="1" si="2"/>
        <v>158800</v>
      </c>
      <c r="O8" s="22">
        <f t="shared" ca="1" si="2"/>
        <v>163600</v>
      </c>
      <c r="P8" s="22">
        <f t="shared" ca="1" si="2"/>
        <v>168500</v>
      </c>
      <c r="Q8" s="22">
        <f t="shared" ca="1" si="2"/>
        <v>173600</v>
      </c>
      <c r="R8" s="22">
        <f t="shared" ca="1" si="2"/>
        <v>178800</v>
      </c>
      <c r="S8" s="22">
        <f t="shared" ca="1" si="2"/>
        <v>184200</v>
      </c>
      <c r="T8" s="22">
        <f t="shared" ca="1" si="2"/>
        <v>189700</v>
      </c>
    </row>
    <row r="9" spans="1:26" ht="18" x14ac:dyDescent="0.25">
      <c r="A9" s="196"/>
      <c r="B9" s="20"/>
      <c r="C9" s="20" t="s">
        <v>107</v>
      </c>
      <c r="D9" s="23"/>
      <c r="E9" s="24" t="s">
        <v>101</v>
      </c>
      <c r="F9" s="24" t="s">
        <v>101</v>
      </c>
      <c r="G9" s="24" t="s">
        <v>101</v>
      </c>
      <c r="H9" s="24" t="s">
        <v>101</v>
      </c>
      <c r="I9" s="24" t="s">
        <v>101</v>
      </c>
      <c r="J9" s="24" t="s">
        <v>101</v>
      </c>
      <c r="K9" s="24" t="s">
        <v>101</v>
      </c>
      <c r="L9" s="24" t="s">
        <v>101</v>
      </c>
      <c r="M9" s="24" t="s">
        <v>101</v>
      </c>
      <c r="N9" s="24" t="s">
        <v>101</v>
      </c>
      <c r="O9" s="24" t="s">
        <v>101</v>
      </c>
      <c r="P9" s="24" t="s">
        <v>101</v>
      </c>
      <c r="Q9" s="24" t="s">
        <v>101</v>
      </c>
      <c r="R9" s="24" t="s">
        <v>101</v>
      </c>
      <c r="S9" s="24" t="s">
        <v>101</v>
      </c>
      <c r="T9" s="24" t="s">
        <v>101</v>
      </c>
    </row>
    <row r="10" spans="1:26" ht="18" x14ac:dyDescent="0.25">
      <c r="A10" s="196"/>
      <c r="B10" s="25"/>
      <c r="C10" s="25" t="s">
        <v>108</v>
      </c>
      <c r="D10" s="23"/>
      <c r="E10" s="24" t="s">
        <v>101</v>
      </c>
      <c r="F10" s="24" t="s">
        <v>101</v>
      </c>
      <c r="G10" s="24" t="s">
        <v>101</v>
      </c>
      <c r="H10" s="24" t="s">
        <v>101</v>
      </c>
      <c r="I10" s="24" t="s">
        <v>101</v>
      </c>
      <c r="J10" s="24" t="s">
        <v>101</v>
      </c>
      <c r="K10" s="24" t="s">
        <v>101</v>
      </c>
      <c r="L10" s="24" t="s">
        <v>101</v>
      </c>
      <c r="M10" s="24" t="s">
        <v>101</v>
      </c>
      <c r="N10" s="24" t="s">
        <v>101</v>
      </c>
      <c r="O10" s="24" t="s">
        <v>101</v>
      </c>
      <c r="P10" s="24" t="s">
        <v>101</v>
      </c>
      <c r="Q10" s="24" t="s">
        <v>101</v>
      </c>
      <c r="R10" s="24" t="s">
        <v>101</v>
      </c>
      <c r="S10" s="24" t="s">
        <v>101</v>
      </c>
      <c r="T10" s="24" t="s">
        <v>101</v>
      </c>
    </row>
    <row r="11" spans="1:26" ht="18" x14ac:dyDescent="0.25">
      <c r="A11" s="196"/>
      <c r="B11" s="21" t="s">
        <v>109</v>
      </c>
      <c r="C11" s="21"/>
      <c r="D11" s="26" t="s">
        <v>110</v>
      </c>
      <c r="E11" s="27">
        <f>IF(Y56="Yes","N/A",SUM(E8,E9,E10))</f>
        <v>204655</v>
      </c>
      <c r="F11" s="27">
        <f t="shared" ref="F11:T11" ca="1" si="3">SUM(F8,F9,F10)</f>
        <v>224000</v>
      </c>
      <c r="G11" s="27">
        <f t="shared" ca="1" si="3"/>
        <v>224000</v>
      </c>
      <c r="H11" s="27">
        <f t="shared" ca="1" si="3"/>
        <v>224000</v>
      </c>
      <c r="I11" s="27">
        <f t="shared" ca="1" si="3"/>
        <v>137000</v>
      </c>
      <c r="J11" s="27">
        <f t="shared" ca="1" si="3"/>
        <v>141100</v>
      </c>
      <c r="K11" s="27">
        <f t="shared" ca="1" si="3"/>
        <v>145300</v>
      </c>
      <c r="L11" s="27">
        <f t="shared" ca="1" si="3"/>
        <v>149700</v>
      </c>
      <c r="M11" s="27">
        <f t="shared" ca="1" si="3"/>
        <v>154200</v>
      </c>
      <c r="N11" s="27">
        <f t="shared" ca="1" si="3"/>
        <v>158800</v>
      </c>
      <c r="O11" s="27">
        <f t="shared" ca="1" si="3"/>
        <v>163600</v>
      </c>
      <c r="P11" s="27">
        <f t="shared" ca="1" si="3"/>
        <v>168500</v>
      </c>
      <c r="Q11" s="27">
        <f t="shared" ca="1" si="3"/>
        <v>173600</v>
      </c>
      <c r="R11" s="27">
        <f t="shared" ca="1" si="3"/>
        <v>178800</v>
      </c>
      <c r="S11" s="27">
        <f t="shared" ca="1" si="3"/>
        <v>184200</v>
      </c>
      <c r="T11" s="27">
        <f t="shared" ca="1" si="3"/>
        <v>189700</v>
      </c>
    </row>
    <row r="12" spans="1:26" ht="18" x14ac:dyDescent="0.25">
      <c r="A12" s="196"/>
      <c r="B12" s="33" t="s">
        <v>111</v>
      </c>
      <c r="C12" s="34"/>
      <c r="D12" s="35"/>
      <c r="E12" s="36">
        <f>IF(Y56="Yes","N/A",'Property Info'!$B$20)</f>
        <v>3.5000000000000003E-2</v>
      </c>
      <c r="F12" s="36">
        <f>'Property Info'!$B$20</f>
        <v>3.5000000000000003E-2</v>
      </c>
      <c r="G12" s="36">
        <f>'Property Info'!$B$20</f>
        <v>3.5000000000000003E-2</v>
      </c>
      <c r="H12" s="36">
        <f>'Property Info'!$B$20</f>
        <v>3.5000000000000003E-2</v>
      </c>
      <c r="I12" s="36">
        <f>'Property Info'!$B$20</f>
        <v>3.5000000000000003E-2</v>
      </c>
      <c r="J12" s="36">
        <f>'Property Info'!$B$20</f>
        <v>3.5000000000000003E-2</v>
      </c>
      <c r="K12" s="36">
        <f>'Property Info'!$B$20</f>
        <v>3.5000000000000003E-2</v>
      </c>
      <c r="L12" s="36">
        <f>'Property Info'!$B$20</f>
        <v>3.5000000000000003E-2</v>
      </c>
      <c r="M12" s="36">
        <f>'Property Info'!$B$20</f>
        <v>3.5000000000000003E-2</v>
      </c>
      <c r="N12" s="36">
        <f>'Property Info'!$B$20</f>
        <v>3.5000000000000003E-2</v>
      </c>
      <c r="O12" s="36">
        <f>'Property Info'!$B$20</f>
        <v>3.5000000000000003E-2</v>
      </c>
      <c r="P12" s="36">
        <f>'Property Info'!$B$20</f>
        <v>3.5000000000000003E-2</v>
      </c>
      <c r="Q12" s="36">
        <f>'Property Info'!$B$20</f>
        <v>3.5000000000000003E-2</v>
      </c>
      <c r="R12" s="36">
        <f>'Property Info'!$B$20</f>
        <v>3.5000000000000003E-2</v>
      </c>
      <c r="S12" s="36">
        <f>'Property Info'!$B$20</f>
        <v>3.5000000000000003E-2</v>
      </c>
      <c r="T12" s="36">
        <f>'Property Info'!$B$20</f>
        <v>3.5000000000000003E-2</v>
      </c>
    </row>
    <row r="13" spans="1:26" ht="18" x14ac:dyDescent="0.25">
      <c r="A13" s="196"/>
      <c r="B13" s="211" t="s">
        <v>112</v>
      </c>
      <c r="C13" s="212"/>
      <c r="D13" s="213" t="s">
        <v>113</v>
      </c>
      <c r="E13" s="214">
        <f ca="1">IF($Y$56="Yes","N/A",ROUND((E7+E14/2+E11/2)*(E12*('Property Info'!$B$14/12)),0))</f>
        <v>12129</v>
      </c>
      <c r="F13" s="215">
        <f ca="1">ROUND(F12*(F7+F14/2+F11/2),0)</f>
        <v>21016</v>
      </c>
      <c r="G13" s="215">
        <f t="shared" ref="G13:T13" ca="1" si="4">ROUND(G12*(G7+G14/2+G11/2),0)</f>
        <v>19897</v>
      </c>
      <c r="H13" s="215">
        <f t="shared" ca="1" si="4"/>
        <v>10028</v>
      </c>
      <c r="I13" s="215">
        <f t="shared" ca="1" si="4"/>
        <v>7504</v>
      </c>
      <c r="J13" s="215">
        <f t="shared" ca="1" si="4"/>
        <v>7614</v>
      </c>
      <c r="K13" s="215">
        <f t="shared" ca="1" si="4"/>
        <v>6101</v>
      </c>
      <c r="L13" s="215">
        <f t="shared" ca="1" si="4"/>
        <v>8695</v>
      </c>
      <c r="M13" s="215">
        <f t="shared" ca="1" si="4"/>
        <v>13648</v>
      </c>
      <c r="N13" s="215">
        <f t="shared" ca="1" si="4"/>
        <v>17897</v>
      </c>
      <c r="O13" s="215">
        <f t="shared" ca="1" si="4"/>
        <v>22000</v>
      </c>
      <c r="P13" s="215">
        <f t="shared" ca="1" si="4"/>
        <v>21523</v>
      </c>
      <c r="Q13" s="215">
        <f t="shared" ca="1" si="4"/>
        <v>14864</v>
      </c>
      <c r="R13" s="215">
        <f t="shared" ca="1" si="4"/>
        <v>14369</v>
      </c>
      <c r="S13" s="215">
        <f t="shared" ca="1" si="4"/>
        <v>16948</v>
      </c>
      <c r="T13" s="215">
        <f t="shared" ca="1" si="4"/>
        <v>20191</v>
      </c>
    </row>
    <row r="14" spans="1:26" ht="18" x14ac:dyDescent="0.25">
      <c r="A14" s="196"/>
      <c r="B14" s="198" t="s">
        <v>114</v>
      </c>
      <c r="C14" s="216"/>
      <c r="D14" s="217"/>
      <c r="E14" s="218">
        <f ca="1">IF(Y56="Yes","N/A",ExpenseTable303[[#Totals],[0]])</f>
        <v>0</v>
      </c>
      <c r="F14" s="218">
        <f ca="1">ExpenseTable303[[#Totals],[1]]</f>
        <v>-8116.4</v>
      </c>
      <c r="G14" s="218">
        <f ca="1">ExpenseTable303[[#Totals],[2]]</f>
        <v>-545859.49999999988</v>
      </c>
      <c r="H14" s="218">
        <f ca="1">ExpenseTable303[[#Totals],[3]]</f>
        <v>-505850.64999999997</v>
      </c>
      <c r="I14" s="218">
        <f ca="1">ExpenseTable303[[#Totals],[4]]</f>
        <v>-19471.3</v>
      </c>
      <c r="J14" s="218">
        <f ca="1">ExpenseTable303[[#Totals],[5]]</f>
        <v>-267328.58</v>
      </c>
      <c r="K14" s="218">
        <f ca="1">ExpenseTable303[[#Totals],[6]]</f>
        <v>-120742.6</v>
      </c>
      <c r="L14" s="218">
        <f ca="1">ExpenseTable303[[#Totals],[7]]</f>
        <v>-38261.4</v>
      </c>
      <c r="M14" s="218">
        <f ca="1">ExpenseTable303[[#Totals],[8]]</f>
        <v>0</v>
      </c>
      <c r="N14" s="218">
        <f ca="1">ExpenseTable303[[#Totals],[9]]</f>
        <v>-97505.73000000001</v>
      </c>
      <c r="O14" s="218">
        <f ca="1">ExpenseTable303[[#Totals],[10]]</f>
        <v>-26206.400000000001</v>
      </c>
      <c r="P14" s="218">
        <f ca="1">ExpenseTable303[[#Totals],[11]]</f>
        <v>-377169.1</v>
      </c>
      <c r="Q14" s="218">
        <f ca="1">ExpenseTable303[[#Totals],[12]]</f>
        <v>-388484.2</v>
      </c>
      <c r="R14" s="218">
        <f ca="1">ExpenseTable303[[#Totals],[13]]</f>
        <v>-21925.200000000001</v>
      </c>
      <c r="S14" s="218">
        <f ca="1">ExpenseTable303[[#Totals],[14]]</f>
        <v>-222464.1</v>
      </c>
      <c r="T14" s="218">
        <f ca="1">ExpenseTable303[[#Totals],[15]]</f>
        <v>0</v>
      </c>
    </row>
    <row r="15" spans="1:26" ht="18" x14ac:dyDescent="0.25">
      <c r="A15" s="196"/>
      <c r="B15" s="219"/>
      <c r="C15" s="216"/>
      <c r="D15" s="220"/>
      <c r="E15" s="180" t="s">
        <v>99</v>
      </c>
      <c r="F15" s="180" t="s">
        <v>99</v>
      </c>
      <c r="G15" s="180" t="s">
        <v>99</v>
      </c>
      <c r="H15" s="180" t="s">
        <v>99</v>
      </c>
      <c r="I15" s="180" t="s">
        <v>99</v>
      </c>
      <c r="J15" s="180" t="s">
        <v>99</v>
      </c>
      <c r="K15" s="180" t="s">
        <v>99</v>
      </c>
      <c r="L15" s="180" t="s">
        <v>99</v>
      </c>
      <c r="M15" s="180" t="s">
        <v>99</v>
      </c>
      <c r="N15" s="180" t="s">
        <v>99</v>
      </c>
      <c r="O15" s="180" t="s">
        <v>99</v>
      </c>
      <c r="P15" s="180" t="s">
        <v>99</v>
      </c>
      <c r="Q15" s="180" t="s">
        <v>99</v>
      </c>
      <c r="R15" s="180" t="s">
        <v>99</v>
      </c>
      <c r="S15" s="180" t="s">
        <v>99</v>
      </c>
      <c r="T15" s="180" t="s">
        <v>99</v>
      </c>
    </row>
    <row r="16" spans="1:26" ht="18" x14ac:dyDescent="0.25">
      <c r="A16" s="196"/>
      <c r="B16" s="198" t="s">
        <v>115</v>
      </c>
      <c r="C16" s="216"/>
      <c r="D16" s="221"/>
      <c r="E16" s="222">
        <f ca="1">IF(Y56="Yes",Funding_Balance,SUM(E7,E11,E13,E14))</f>
        <v>492515.36</v>
      </c>
      <c r="F16" s="222">
        <f t="shared" ref="F16:T16" ca="1" si="5">SUM(F7,F11,F13,F14)</f>
        <v>729414.96</v>
      </c>
      <c r="G16" s="222">
        <f t="shared" ca="1" si="5"/>
        <v>427452.46000000008</v>
      </c>
      <c r="H16" s="222">
        <f t="shared" ca="1" si="5"/>
        <v>155629.81000000011</v>
      </c>
      <c r="I16" s="222">
        <f t="shared" ca="1" si="5"/>
        <v>280662.51000000013</v>
      </c>
      <c r="J16" s="222">
        <f t="shared" ca="1" si="5"/>
        <v>162047.93000000011</v>
      </c>
      <c r="K16" s="222">
        <f t="shared" ca="1" si="5"/>
        <v>192706.3300000001</v>
      </c>
      <c r="L16" s="222">
        <f t="shared" ca="1" si="5"/>
        <v>312839.93000000005</v>
      </c>
      <c r="M16" s="222">
        <f t="shared" ca="1" si="5"/>
        <v>480687.93000000005</v>
      </c>
      <c r="N16" s="222">
        <f t="shared" ca="1" si="5"/>
        <v>559879.20000000007</v>
      </c>
      <c r="O16" s="222">
        <f t="shared" ca="1" si="5"/>
        <v>719272.8</v>
      </c>
      <c r="P16" s="222">
        <f t="shared" ca="1" si="5"/>
        <v>532126.70000000007</v>
      </c>
      <c r="Q16" s="222">
        <f t="shared" ca="1" si="5"/>
        <v>332106.50000000006</v>
      </c>
      <c r="R16" s="222">
        <f t="shared" ca="1" si="5"/>
        <v>503350.3</v>
      </c>
      <c r="S16" s="222">
        <f t="shared" ca="1" si="5"/>
        <v>482034.20000000007</v>
      </c>
      <c r="T16" s="222">
        <f t="shared" ca="1" si="5"/>
        <v>691925.20000000007</v>
      </c>
    </row>
    <row r="17" spans="1:20" ht="18" x14ac:dyDescent="0.25">
      <c r="A17" s="208"/>
      <c r="B17" s="208"/>
      <c r="C17" s="192"/>
      <c r="D17" s="221"/>
      <c r="E17" s="223" t="str">
        <f ca="1">IFERROR(IF(-E16/E14&lt;($Y$63+$AI$1004),"(NOTE 5)",""),"")</f>
        <v/>
      </c>
      <c r="F17" s="223" t="str">
        <f t="shared" ref="F17:T17" ca="1" si="6">IFERROR(IF(-F16/F14&lt;($Y$63+$AI$1004),"(NOTE 5)",""),"")</f>
        <v/>
      </c>
      <c r="G17" s="223" t="str">
        <f t="shared" ca="1" si="6"/>
        <v/>
      </c>
      <c r="H17" s="223" t="str">
        <f t="shared" ca="1" si="6"/>
        <v>(NOTE 5)</v>
      </c>
      <c r="I17" s="223" t="str">
        <f t="shared" ca="1" si="6"/>
        <v/>
      </c>
      <c r="J17" s="223" t="str">
        <f t="shared" ca="1" si="6"/>
        <v/>
      </c>
      <c r="K17" s="223" t="str">
        <f t="shared" ca="1" si="6"/>
        <v/>
      </c>
      <c r="L17" s="223" t="str">
        <f t="shared" ca="1" si="6"/>
        <v/>
      </c>
      <c r="M17" s="223" t="str">
        <f t="shared" ca="1" si="6"/>
        <v/>
      </c>
      <c r="N17" s="223" t="str">
        <f t="shared" ca="1" si="6"/>
        <v/>
      </c>
      <c r="O17" s="223" t="str">
        <f t="shared" ca="1" si="6"/>
        <v/>
      </c>
      <c r="P17" s="223" t="str">
        <f t="shared" ca="1" si="6"/>
        <v/>
      </c>
      <c r="Q17" s="223" t="str">
        <f t="shared" ca="1" si="6"/>
        <v/>
      </c>
      <c r="R17" s="223" t="str">
        <f t="shared" ca="1" si="6"/>
        <v/>
      </c>
      <c r="S17" s="223" t="str">
        <f t="shared" ca="1" si="6"/>
        <v/>
      </c>
      <c r="T17" s="223" t="str">
        <f t="shared" ca="1" si="6"/>
        <v/>
      </c>
    </row>
    <row r="18" spans="1:20" ht="18" x14ac:dyDescent="0.25">
      <c r="A18" s="208"/>
      <c r="B18" s="224"/>
      <c r="C18" s="225"/>
      <c r="D18" s="226"/>
      <c r="E18" s="227"/>
      <c r="F18" s="227"/>
      <c r="G18" s="227"/>
      <c r="H18" s="227"/>
      <c r="I18" s="227"/>
      <c r="J18" s="227"/>
      <c r="K18" s="227"/>
      <c r="L18" s="227"/>
      <c r="M18" s="227"/>
      <c r="N18" s="227"/>
      <c r="O18" s="227"/>
      <c r="P18" s="227"/>
      <c r="Q18" s="227"/>
      <c r="R18" s="227"/>
      <c r="S18" s="227"/>
      <c r="T18" s="227"/>
    </row>
    <row r="19" spans="1:20" ht="18.75" thickBot="1" x14ac:dyDescent="0.3">
      <c r="A19" s="209"/>
      <c r="B19" s="209"/>
      <c r="C19" s="100"/>
      <c r="D19" s="100"/>
      <c r="E19" s="100"/>
      <c r="F19" s="100"/>
      <c r="G19" s="97"/>
      <c r="H19" s="97"/>
      <c r="I19" s="97"/>
      <c r="J19" s="97"/>
      <c r="K19" s="97"/>
      <c r="L19" s="97"/>
      <c r="M19" s="97"/>
      <c r="N19" s="97"/>
      <c r="O19" s="97"/>
      <c r="P19" s="97"/>
      <c r="Q19" s="97"/>
      <c r="R19" s="97"/>
      <c r="S19" s="97"/>
      <c r="T19" s="97"/>
    </row>
    <row r="20" spans="1:20" ht="18" x14ac:dyDescent="0.25">
      <c r="A20" s="209"/>
      <c r="B20" s="209"/>
      <c r="C20" s="97"/>
      <c r="D20" s="97"/>
      <c r="E20" s="97"/>
      <c r="F20" s="97"/>
      <c r="G20" s="97"/>
      <c r="H20" s="97"/>
      <c r="I20" s="288" t="s">
        <v>46</v>
      </c>
      <c r="J20" s="289"/>
      <c r="K20" s="290" t="s">
        <v>116</v>
      </c>
      <c r="L20" s="290"/>
      <c r="M20" s="291" t="s">
        <v>117</v>
      </c>
      <c r="N20" s="291"/>
      <c r="O20" s="291" t="s">
        <v>186</v>
      </c>
      <c r="P20" s="291"/>
      <c r="Q20" s="291" t="s">
        <v>55</v>
      </c>
      <c r="R20" s="291"/>
      <c r="S20" s="291" t="s">
        <v>58</v>
      </c>
      <c r="T20" s="292"/>
    </row>
    <row r="21" spans="1:20" ht="18" x14ac:dyDescent="0.25">
      <c r="A21" s="209"/>
      <c r="B21" s="209"/>
      <c r="C21" s="97"/>
      <c r="D21" s="97"/>
      <c r="E21" s="97"/>
      <c r="F21" s="97"/>
      <c r="G21" s="97"/>
      <c r="H21" s="97"/>
      <c r="I21" s="254" t="s">
        <v>118</v>
      </c>
      <c r="J21" s="79">
        <v>224000</v>
      </c>
      <c r="K21" s="234" t="s">
        <v>119</v>
      </c>
      <c r="L21" s="79"/>
      <c r="M21" s="234" t="s">
        <v>118</v>
      </c>
      <c r="N21" s="80">
        <v>224000</v>
      </c>
      <c r="O21" s="234" t="s">
        <v>118</v>
      </c>
      <c r="P21" s="80"/>
      <c r="Q21" s="234" t="s">
        <v>118</v>
      </c>
      <c r="R21" s="79">
        <v>137000</v>
      </c>
      <c r="S21" s="234" t="s">
        <v>118</v>
      </c>
      <c r="T21" s="83"/>
    </row>
    <row r="22" spans="1:20" ht="18" x14ac:dyDescent="0.25">
      <c r="A22" s="209"/>
      <c r="B22" s="209"/>
      <c r="C22" s="97"/>
      <c r="D22" s="97"/>
      <c r="E22" s="97"/>
      <c r="F22" s="97"/>
      <c r="G22" s="97"/>
      <c r="H22" s="97"/>
      <c r="I22" s="254"/>
      <c r="J22" s="256"/>
      <c r="K22" s="234" t="s">
        <v>120</v>
      </c>
      <c r="L22" s="81"/>
      <c r="M22" s="234" t="s">
        <v>121</v>
      </c>
      <c r="N22" s="81">
        <v>2026</v>
      </c>
      <c r="O22" s="234" t="s">
        <v>121</v>
      </c>
      <c r="P22" s="81"/>
      <c r="Q22" s="234" t="s">
        <v>122</v>
      </c>
      <c r="R22" s="82">
        <v>2029</v>
      </c>
      <c r="S22" s="234" t="s">
        <v>122</v>
      </c>
      <c r="T22" s="84"/>
    </row>
    <row r="23" spans="1:20" ht="18.75" thickBot="1" x14ac:dyDescent="0.3">
      <c r="A23" s="209"/>
      <c r="B23" s="209"/>
      <c r="C23" s="97"/>
      <c r="D23" s="97"/>
      <c r="E23" s="97"/>
      <c r="F23" s="97"/>
      <c r="G23" s="97"/>
      <c r="H23" s="97"/>
      <c r="I23" s="255"/>
      <c r="J23" s="257"/>
      <c r="K23" s="257"/>
      <c r="L23" s="85"/>
      <c r="M23" s="258" t="s">
        <v>123</v>
      </c>
      <c r="N23" s="86">
        <v>2028</v>
      </c>
      <c r="O23" s="258" t="s">
        <v>123</v>
      </c>
      <c r="P23" s="86"/>
      <c r="Q23" s="258"/>
      <c r="R23" s="259"/>
      <c r="S23" s="258"/>
      <c r="T23" s="260"/>
    </row>
    <row r="24" spans="1:20" ht="18" x14ac:dyDescent="0.25">
      <c r="A24" s="209"/>
      <c r="B24" s="209"/>
      <c r="C24" s="97"/>
      <c r="D24" s="97"/>
      <c r="E24" s="97"/>
      <c r="F24" s="97"/>
      <c r="G24" s="228"/>
      <c r="H24" s="228"/>
      <c r="I24" s="228"/>
      <c r="J24" s="228"/>
      <c r="K24" s="97"/>
      <c r="L24" s="97"/>
      <c r="M24" s="234"/>
      <c r="N24" s="235"/>
      <c r="O24" s="234"/>
      <c r="P24" s="235"/>
      <c r="Q24" s="234"/>
      <c r="R24" s="236"/>
      <c r="S24" s="234"/>
      <c r="T24" s="236"/>
    </row>
    <row r="25" spans="1:20" ht="18" x14ac:dyDescent="0.25">
      <c r="A25" s="209"/>
      <c r="B25" s="209"/>
      <c r="C25" s="97"/>
      <c r="D25" s="97"/>
      <c r="E25" s="97"/>
      <c r="F25" s="97"/>
      <c r="G25" s="228"/>
      <c r="H25" s="228"/>
      <c r="I25" s="228"/>
      <c r="J25" s="228"/>
      <c r="K25" s="228"/>
      <c r="L25" s="228"/>
      <c r="M25" s="237"/>
      <c r="N25" s="237"/>
      <c r="O25" s="97"/>
      <c r="P25" s="97"/>
      <c r="Q25" s="234"/>
      <c r="R25" s="97"/>
      <c r="S25" s="234"/>
      <c r="T25" s="110"/>
    </row>
    <row r="26" spans="1:20" ht="18" x14ac:dyDescent="0.25">
      <c r="A26" s="208"/>
      <c r="B26" s="208"/>
      <c r="C26" s="229" t="s">
        <v>124</v>
      </c>
      <c r="D26" s="192"/>
      <c r="E26" s="192"/>
      <c r="F26" s="230" t="s">
        <v>125</v>
      </c>
      <c r="G26" s="148"/>
      <c r="H26" s="148"/>
      <c r="I26" s="148"/>
      <c r="J26" s="148"/>
      <c r="K26" s="148"/>
      <c r="L26" s="148"/>
      <c r="M26" s="148"/>
      <c r="N26" s="148"/>
      <c r="O26" s="148"/>
      <c r="P26" s="148"/>
      <c r="Q26" s="148"/>
      <c r="R26" s="148"/>
      <c r="S26" s="148"/>
      <c r="T26" s="148"/>
    </row>
    <row r="27" spans="1:20" ht="20.25" thickBot="1" x14ac:dyDescent="0.3">
      <c r="A27" s="209"/>
      <c r="B27" s="208"/>
      <c r="C27" s="231" t="s">
        <v>101</v>
      </c>
      <c r="D27" s="198"/>
      <c r="E27" s="232"/>
      <c r="F27" s="233">
        <f>T6+1</f>
        <v>2041</v>
      </c>
      <c r="G27" s="233">
        <f>F27+1</f>
        <v>2042</v>
      </c>
      <c r="H27" s="233">
        <f t="shared" ref="H27:T27" si="7">G27+1</f>
        <v>2043</v>
      </c>
      <c r="I27" s="233">
        <f t="shared" si="7"/>
        <v>2044</v>
      </c>
      <c r="J27" s="233">
        <f t="shared" si="7"/>
        <v>2045</v>
      </c>
      <c r="K27" s="233">
        <f t="shared" si="7"/>
        <v>2046</v>
      </c>
      <c r="L27" s="233">
        <f t="shared" si="7"/>
        <v>2047</v>
      </c>
      <c r="M27" s="233">
        <f t="shared" si="7"/>
        <v>2048</v>
      </c>
      <c r="N27" s="233">
        <f t="shared" si="7"/>
        <v>2049</v>
      </c>
      <c r="O27" s="233">
        <f t="shared" si="7"/>
        <v>2050</v>
      </c>
      <c r="P27" s="233">
        <f t="shared" si="7"/>
        <v>2051</v>
      </c>
      <c r="Q27" s="233">
        <f t="shared" si="7"/>
        <v>2052</v>
      </c>
      <c r="R27" s="233">
        <f t="shared" si="7"/>
        <v>2053</v>
      </c>
      <c r="S27" s="233">
        <f t="shared" si="7"/>
        <v>2054</v>
      </c>
      <c r="T27" s="233">
        <f t="shared" si="7"/>
        <v>2055</v>
      </c>
    </row>
    <row r="28" spans="1:20" ht="18" x14ac:dyDescent="0.25">
      <c r="A28" s="209"/>
      <c r="B28" s="203" t="s">
        <v>104</v>
      </c>
      <c r="C28" s="204"/>
      <c r="D28" s="238"/>
      <c r="E28" s="239"/>
      <c r="F28" s="207">
        <f ca="1">T16</f>
        <v>691925.20000000007</v>
      </c>
      <c r="G28" s="207">
        <f t="shared" ref="G28:T28" ca="1" si="8">F37</f>
        <v>506928.10000000003</v>
      </c>
      <c r="H28" s="207">
        <f t="shared" ca="1" si="8"/>
        <v>346251.20000000007</v>
      </c>
      <c r="I28" s="207">
        <f t="shared" ca="1" si="8"/>
        <v>569298.20000000007</v>
      </c>
      <c r="J28" s="207">
        <f t="shared" ca="1" si="8"/>
        <v>806460.20000000007</v>
      </c>
      <c r="K28" s="207">
        <f t="shared" ca="1" si="8"/>
        <v>1058434.2000000002</v>
      </c>
      <c r="L28" s="207">
        <f t="shared" ca="1" si="8"/>
        <v>1270000.2000000002</v>
      </c>
      <c r="M28" s="207">
        <f t="shared" ca="1" si="8"/>
        <v>1513620.6</v>
      </c>
      <c r="N28" s="207">
        <f t="shared" ca="1" si="8"/>
        <v>1811102.6</v>
      </c>
      <c r="O28" s="207">
        <f t="shared" ca="1" si="8"/>
        <v>2110188.8000000003</v>
      </c>
      <c r="P28" s="207">
        <f t="shared" ca="1" si="8"/>
        <v>890703.16000000061</v>
      </c>
      <c r="Q28" s="207">
        <f t="shared" ca="1" si="8"/>
        <v>237673.96000000066</v>
      </c>
      <c r="R28" s="207">
        <f t="shared" ca="1" si="8"/>
        <v>423937.56000000064</v>
      </c>
      <c r="S28" s="207">
        <f t="shared" ca="1" si="8"/>
        <v>602492.06000000064</v>
      </c>
      <c r="T28" s="207">
        <f t="shared" ca="1" si="8"/>
        <v>696628.72000000067</v>
      </c>
    </row>
    <row r="29" spans="1:20" ht="18" x14ac:dyDescent="0.25">
      <c r="A29" s="209"/>
      <c r="B29" s="28"/>
      <c r="C29" s="20" t="s">
        <v>106</v>
      </c>
      <c r="D29" s="21"/>
      <c r="E29" s="29"/>
      <c r="F29" s="22">
        <f ca="1">IF($Y$53-1=F27,$Y$58,ROUND(IF(AND(NOT(ISBLANK($R$22)),NOT(ISBLANK($R$21)),F27=$R$22),$R$21,IF(AND(NOT(ISBLANK($T$22)),NOT(ISBLANK($T$21)),F27=$T$22),$T$21,IF(AND(NOT(ISBLANK($J$21)),$Y$53=F27),$J$21,IF(AND(NOT(ISBLANK($L$22)),NOT(ISBLANK($L$21)),F27&lt;$Y$53+$L$22),$L$21+INDIRECT("contributions_year"&amp;F27-1-$Y$52)+IF(F27-1-$Y$52=0,(1-($Y$60/$Y$61))*$Y$57,0),IF(AND(NOT(ISBLANK($N$21)),NOT(ISBLANK($N$22)),NOT(ISBLANK($N$23)),$N$22&lt;=F27,F27&lt;=$N$23),$N$21,IF(AND(NOT(ISBLANK($P$21)),NOT(ISBLANK($P$22)),NOT(ISBLANK($P$23)),$P$22&lt;=F27,F27&lt;=$P$23),$P$21,(INDIRECT("contributions_year"&amp;F27-1-$Y$52)+IF(F27-1-$Y$52=0,(1-($Y$60/$Y$61))*$Y$57,0))*(1+$Y$59)))))))/$Y$62,0)*$Y$62)</f>
        <v>195400</v>
      </c>
      <c r="G29" s="22">
        <f ca="1">IF($Y$53-1=G27,$Y$58,ROUND(IF(AND(NOT(ISBLANK($R$22)),NOT(ISBLANK($R$21)),G27=$R$22),$R$21,IF(AND(NOT(ISBLANK($T$22)),NOT(ISBLANK($T$21)),G27=$T$22),$T$21,IF(AND(NOT(ISBLANK($J$21)),$Y$53=G27),$J$21,IF(AND(NOT(ISBLANK($L$22)),NOT(ISBLANK($L$21)),G27&lt;$Y$53+$L$22),$L$21+INDIRECT("contributions_year"&amp;G27-1-$Y$52)+IF(G27-1-$Y$52=0,(1-($Y$60/$Y$61))*$Y$57,0),IF(AND(NOT(ISBLANK($N$21)),NOT(ISBLANK($N$22)),NOT(ISBLANK($N$23)),$N$22&lt;=G27,G27&lt;=$N$23),$N$21,IF(AND(NOT(ISBLANK($P$21)),NOT(ISBLANK($P$22)),NOT(ISBLANK($P$23)),$P$22&lt;=G27,G27&lt;=$P$23),$P$21,(INDIRECT("contributions_year"&amp;G27-1-$Y$52)+IF(G27-1-$Y$52=0,(1-($Y$60/$Y$61))*$Y$57,0))*(1+$Y$59)))))))/$Y$62,0)*$Y$62)</f>
        <v>201300</v>
      </c>
      <c r="H29" s="22">
        <f t="shared" ref="H29:T29" ca="1" si="9">IF($Y$53-1=H27,$Y$58,ROUND(IF(AND(NOT(ISBLANK($R$22)),NOT(ISBLANK($R$21)),H27=$R$22),$R$21,IF(AND(NOT(ISBLANK($T$22)),NOT(ISBLANK($T$21)),H27=$T$22),$T$21,IF(AND(NOT(ISBLANK($J$21)),$Y$53=H27),$J$21,IF(AND(NOT(ISBLANK($L$22)),NOT(ISBLANK($L$21)),H27&lt;$Y$53+$L$22),$L$21+INDIRECT("contributions_year"&amp;H27-1-$Y$52)+IF(H27-1-$Y$52=0,(1-($Y$60/$Y$61))*$Y$57,0),IF(AND(NOT(ISBLANK($N$21)),NOT(ISBLANK($N$22)),NOT(ISBLANK($N$23)),$N$22&lt;=H27,H27&lt;=$N$23),$N$21,IF(AND(NOT(ISBLANK($P$21)),NOT(ISBLANK($P$22)),NOT(ISBLANK($P$23)),$P$22&lt;=H27,H27&lt;=$P$23),$P$21,(INDIRECT("contributions_year"&amp;H27-1-$Y$52)+IF(H27-1-$Y$52=0,(1-($Y$60/$Y$61))*$Y$57,0))*(1+$Y$59)))))))/$Y$62,0)*$Y$62)</f>
        <v>207300</v>
      </c>
      <c r="I29" s="22">
        <f t="shared" ca="1" si="9"/>
        <v>213500</v>
      </c>
      <c r="J29" s="22">
        <f t="shared" ca="1" si="9"/>
        <v>219900</v>
      </c>
      <c r="K29" s="22">
        <f t="shared" ca="1" si="9"/>
        <v>226500</v>
      </c>
      <c r="L29" s="22">
        <f t="shared" ca="1" si="9"/>
        <v>233300</v>
      </c>
      <c r="M29" s="22">
        <f t="shared" ca="1" si="9"/>
        <v>240300</v>
      </c>
      <c r="N29" s="22">
        <f t="shared" ca="1" si="9"/>
        <v>247500</v>
      </c>
      <c r="O29" s="22">
        <f t="shared" ca="1" si="9"/>
        <v>254900</v>
      </c>
      <c r="P29" s="22">
        <f t="shared" ca="1" si="9"/>
        <v>262500</v>
      </c>
      <c r="Q29" s="22">
        <f t="shared" ca="1" si="9"/>
        <v>270400</v>
      </c>
      <c r="R29" s="22">
        <f t="shared" ca="1" si="9"/>
        <v>278500</v>
      </c>
      <c r="S29" s="22">
        <f t="shared" ca="1" si="9"/>
        <v>286900</v>
      </c>
      <c r="T29" s="22">
        <f t="shared" ca="1" si="9"/>
        <v>295500</v>
      </c>
    </row>
    <row r="30" spans="1:20" ht="18" x14ac:dyDescent="0.25">
      <c r="A30" s="209"/>
      <c r="B30" s="20"/>
      <c r="C30" s="20" t="s">
        <v>107</v>
      </c>
      <c r="D30" s="23"/>
      <c r="E30" s="30"/>
      <c r="F30" s="24" t="s">
        <v>101</v>
      </c>
      <c r="G30" s="24" t="s">
        <v>101</v>
      </c>
      <c r="H30" s="24" t="s">
        <v>101</v>
      </c>
      <c r="I30" s="24" t="s">
        <v>101</v>
      </c>
      <c r="J30" s="24" t="s">
        <v>101</v>
      </c>
      <c r="K30" s="24" t="s">
        <v>101</v>
      </c>
      <c r="L30" s="24" t="s">
        <v>101</v>
      </c>
      <c r="M30" s="24" t="s">
        <v>101</v>
      </c>
      <c r="N30" s="24" t="s">
        <v>101</v>
      </c>
      <c r="O30" s="24" t="s">
        <v>101</v>
      </c>
      <c r="P30" s="24" t="s">
        <v>101</v>
      </c>
      <c r="Q30" s="24" t="s">
        <v>101</v>
      </c>
      <c r="R30" s="24" t="s">
        <v>101</v>
      </c>
      <c r="S30" s="24" t="s">
        <v>101</v>
      </c>
      <c r="T30" s="24" t="s">
        <v>101</v>
      </c>
    </row>
    <row r="31" spans="1:20" ht="18" x14ac:dyDescent="0.25">
      <c r="A31" s="209"/>
      <c r="B31" s="31"/>
      <c r="C31" s="20" t="s">
        <v>108</v>
      </c>
      <c r="D31" s="23"/>
      <c r="E31" s="30"/>
      <c r="F31" s="24" t="s">
        <v>101</v>
      </c>
      <c r="G31" s="24" t="s">
        <v>101</v>
      </c>
      <c r="H31" s="24" t="s">
        <v>101</v>
      </c>
      <c r="I31" s="24" t="s">
        <v>101</v>
      </c>
      <c r="J31" s="24" t="s">
        <v>101</v>
      </c>
      <c r="K31" s="24" t="s">
        <v>101</v>
      </c>
      <c r="L31" s="24" t="s">
        <v>101</v>
      </c>
      <c r="M31" s="24" t="s">
        <v>101</v>
      </c>
      <c r="N31" s="24" t="s">
        <v>101</v>
      </c>
      <c r="O31" s="24" t="s">
        <v>101</v>
      </c>
      <c r="P31" s="24" t="s">
        <v>101</v>
      </c>
      <c r="Q31" s="24" t="s">
        <v>101</v>
      </c>
      <c r="R31" s="24" t="s">
        <v>101</v>
      </c>
      <c r="S31" s="24" t="s">
        <v>101</v>
      </c>
      <c r="T31" s="24" t="s">
        <v>101</v>
      </c>
    </row>
    <row r="32" spans="1:20" ht="18" x14ac:dyDescent="0.25">
      <c r="A32" s="209"/>
      <c r="B32" s="32" t="s">
        <v>126</v>
      </c>
      <c r="C32" s="21"/>
      <c r="D32" s="21"/>
      <c r="E32" s="29"/>
      <c r="F32" s="27">
        <f t="shared" ref="F32:T32" ca="1" si="10">SUM(F29,F30,F31)</f>
        <v>195400</v>
      </c>
      <c r="G32" s="27">
        <f t="shared" ca="1" si="10"/>
        <v>201300</v>
      </c>
      <c r="H32" s="27">
        <f t="shared" ca="1" si="10"/>
        <v>207300</v>
      </c>
      <c r="I32" s="27">
        <f t="shared" ca="1" si="10"/>
        <v>213500</v>
      </c>
      <c r="J32" s="27">
        <f t="shared" ca="1" si="10"/>
        <v>219900</v>
      </c>
      <c r="K32" s="27">
        <f t="shared" ca="1" si="10"/>
        <v>226500</v>
      </c>
      <c r="L32" s="27">
        <f t="shared" ca="1" si="10"/>
        <v>233300</v>
      </c>
      <c r="M32" s="27">
        <f t="shared" ca="1" si="10"/>
        <v>240300</v>
      </c>
      <c r="N32" s="27">
        <f t="shared" ca="1" si="10"/>
        <v>247500</v>
      </c>
      <c r="O32" s="27">
        <f t="shared" ca="1" si="10"/>
        <v>254900</v>
      </c>
      <c r="P32" s="27">
        <f t="shared" ca="1" si="10"/>
        <v>262500</v>
      </c>
      <c r="Q32" s="27">
        <f t="shared" ca="1" si="10"/>
        <v>270400</v>
      </c>
      <c r="R32" s="27">
        <f t="shared" ca="1" si="10"/>
        <v>278500</v>
      </c>
      <c r="S32" s="27">
        <f t="shared" ca="1" si="10"/>
        <v>286900</v>
      </c>
      <c r="T32" s="27">
        <f t="shared" ca="1" si="10"/>
        <v>295500</v>
      </c>
    </row>
    <row r="33" spans="1:20" ht="18" x14ac:dyDescent="0.25">
      <c r="A33" s="209"/>
      <c r="B33" s="33" t="s">
        <v>111</v>
      </c>
      <c r="C33" s="34"/>
      <c r="D33" s="35"/>
      <c r="E33" s="37"/>
      <c r="F33" s="36">
        <f>'Property Info'!$B$20</f>
        <v>3.5000000000000003E-2</v>
      </c>
      <c r="G33" s="36">
        <f>'Property Info'!$B$20</f>
        <v>3.5000000000000003E-2</v>
      </c>
      <c r="H33" s="36">
        <f>'Property Info'!$B$20</f>
        <v>3.5000000000000003E-2</v>
      </c>
      <c r="I33" s="36">
        <f>'Property Info'!$B$20</f>
        <v>3.5000000000000003E-2</v>
      </c>
      <c r="J33" s="36">
        <f>'Property Info'!$B$20</f>
        <v>3.5000000000000003E-2</v>
      </c>
      <c r="K33" s="36">
        <f>'Property Info'!$B$20</f>
        <v>3.5000000000000003E-2</v>
      </c>
      <c r="L33" s="36">
        <f>'Property Info'!$B$20</f>
        <v>3.5000000000000003E-2</v>
      </c>
      <c r="M33" s="36">
        <f>'Property Info'!$B$20</f>
        <v>3.5000000000000003E-2</v>
      </c>
      <c r="N33" s="36">
        <f>'Property Info'!$B$20</f>
        <v>3.5000000000000003E-2</v>
      </c>
      <c r="O33" s="36">
        <f>'Property Info'!$B$20</f>
        <v>3.5000000000000003E-2</v>
      </c>
      <c r="P33" s="36">
        <f>'Property Info'!$B$20</f>
        <v>3.5000000000000003E-2</v>
      </c>
      <c r="Q33" s="36">
        <f>'Property Info'!$B$20</f>
        <v>3.5000000000000003E-2</v>
      </c>
      <c r="R33" s="36">
        <f>'Property Info'!$B$20</f>
        <v>3.5000000000000003E-2</v>
      </c>
      <c r="S33" s="36">
        <f>'Property Info'!$B$20</f>
        <v>3.5000000000000003E-2</v>
      </c>
      <c r="T33" s="36">
        <f>'Property Info'!$B$20</f>
        <v>3.5000000000000003E-2</v>
      </c>
    </row>
    <row r="34" spans="1:20" ht="18" x14ac:dyDescent="0.25">
      <c r="A34" s="209"/>
      <c r="B34" s="211" t="s">
        <v>112</v>
      </c>
      <c r="C34" s="212"/>
      <c r="D34" s="240"/>
      <c r="E34" s="241"/>
      <c r="F34" s="215">
        <f t="shared" ref="F34:T34" ca="1" si="11">ROUND(F33*(F28+F35/2+F32/2),0)</f>
        <v>20619</v>
      </c>
      <c r="G34" s="215">
        <f t="shared" ca="1" si="11"/>
        <v>14674</v>
      </c>
      <c r="H34" s="215">
        <f t="shared" ca="1" si="11"/>
        <v>15747</v>
      </c>
      <c r="I34" s="215">
        <f t="shared" ca="1" si="11"/>
        <v>23662</v>
      </c>
      <c r="J34" s="215">
        <f t="shared" ca="1" si="11"/>
        <v>32074</v>
      </c>
      <c r="K34" s="215">
        <f t="shared" ca="1" si="11"/>
        <v>40047</v>
      </c>
      <c r="L34" s="215">
        <f t="shared" ca="1" si="11"/>
        <v>47876</v>
      </c>
      <c r="M34" s="215">
        <f t="shared" ca="1" si="11"/>
        <v>57182</v>
      </c>
      <c r="N34" s="215">
        <f t="shared" ca="1" si="11"/>
        <v>67442</v>
      </c>
      <c r="O34" s="215">
        <f t="shared" ca="1" si="11"/>
        <v>51612</v>
      </c>
      <c r="P34" s="215">
        <f t="shared" ca="1" si="11"/>
        <v>19407</v>
      </c>
      <c r="Q34" s="215">
        <f t="shared" ca="1" si="11"/>
        <v>11379</v>
      </c>
      <c r="R34" s="215">
        <f t="shared" ca="1" si="11"/>
        <v>17654</v>
      </c>
      <c r="S34" s="215">
        <f t="shared" ca="1" si="11"/>
        <v>22344</v>
      </c>
      <c r="T34" s="215">
        <f t="shared" ca="1" si="11"/>
        <v>26988</v>
      </c>
    </row>
    <row r="35" spans="1:20" ht="18" x14ac:dyDescent="0.25">
      <c r="A35" s="209"/>
      <c r="B35" s="198" t="s">
        <v>114</v>
      </c>
      <c r="C35" s="216"/>
      <c r="D35" s="217"/>
      <c r="E35" s="192"/>
      <c r="F35" s="218">
        <f ca="1">ExpenseTable303[[#Totals],[16]]</f>
        <v>-401016.10000000003</v>
      </c>
      <c r="G35" s="218">
        <f ca="1">ExpenseTable303[[#Totals],[17]]</f>
        <v>-376650.9</v>
      </c>
      <c r="H35" s="218">
        <f ca="1">ExpenseTable303[[#Totals],[18]]</f>
        <v>0</v>
      </c>
      <c r="I35" s="218">
        <f ca="1">ExpenseTable303[[#Totals],[19]]</f>
        <v>0</v>
      </c>
      <c r="J35" s="218">
        <f ca="1">ExpenseTable303[[#Totals],[20]]</f>
        <v>0</v>
      </c>
      <c r="K35" s="218">
        <f ca="1">ExpenseTable303[[#Totals],[21]]</f>
        <v>-54981</v>
      </c>
      <c r="L35" s="218">
        <f ca="1">ExpenseTable303[[#Totals],[22]]</f>
        <v>-37555.599999999999</v>
      </c>
      <c r="M35" s="218">
        <f ca="1">ExpenseTable303[[#Totals],[23]]</f>
        <v>0</v>
      </c>
      <c r="N35" s="218">
        <f ca="1">ExpenseTable303[[#Totals],[24]]</f>
        <v>-15855.8</v>
      </c>
      <c r="O35" s="218">
        <f ca="1">ExpenseTable303[[#Totals],[25]]</f>
        <v>-1525997.6399999997</v>
      </c>
      <c r="P35" s="218">
        <f ca="1">ExpenseTable303[[#Totals],[26]]</f>
        <v>-934936.2</v>
      </c>
      <c r="Q35" s="218">
        <f ca="1">ExpenseTable303[[#Totals],[27]]</f>
        <v>-95515.4</v>
      </c>
      <c r="R35" s="218">
        <f ca="1">ExpenseTable303[[#Totals],[28]]</f>
        <v>-117599.5</v>
      </c>
      <c r="S35" s="218">
        <f ca="1">ExpenseTable303[[#Totals],[29]]</f>
        <v>-215107.34</v>
      </c>
      <c r="T35" s="218">
        <f ca="1">ExpenseTable303[[#Totals],[30]]</f>
        <v>-146606.70000000001</v>
      </c>
    </row>
    <row r="36" spans="1:20" ht="18" x14ac:dyDescent="0.25">
      <c r="A36" s="209"/>
      <c r="B36" s="219"/>
      <c r="C36" s="216"/>
      <c r="D36" s="220"/>
      <c r="E36" s="180"/>
      <c r="F36" s="180" t="s">
        <v>99</v>
      </c>
      <c r="G36" s="180" t="s">
        <v>99</v>
      </c>
      <c r="H36" s="180" t="s">
        <v>99</v>
      </c>
      <c r="I36" s="180" t="s">
        <v>99</v>
      </c>
      <c r="J36" s="180" t="s">
        <v>99</v>
      </c>
      <c r="K36" s="180" t="s">
        <v>99</v>
      </c>
      <c r="L36" s="180" t="s">
        <v>99</v>
      </c>
      <c r="M36" s="180" t="s">
        <v>99</v>
      </c>
      <c r="N36" s="180" t="s">
        <v>99</v>
      </c>
      <c r="O36" s="180" t="s">
        <v>99</v>
      </c>
      <c r="P36" s="180" t="s">
        <v>99</v>
      </c>
      <c r="Q36" s="180" t="s">
        <v>99</v>
      </c>
      <c r="R36" s="180" t="s">
        <v>99</v>
      </c>
      <c r="S36" s="180" t="s">
        <v>99</v>
      </c>
      <c r="T36" s="180" t="s">
        <v>99</v>
      </c>
    </row>
    <row r="37" spans="1:20" ht="18" x14ac:dyDescent="0.25">
      <c r="A37" s="209"/>
      <c r="B37" s="198" t="s">
        <v>115</v>
      </c>
      <c r="C37" s="216"/>
      <c r="D37" s="242"/>
      <c r="E37" s="243"/>
      <c r="F37" s="222">
        <f t="shared" ref="F37:T37" ca="1" si="12">SUM(F28,F32,F34,F35)</f>
        <v>506928.10000000003</v>
      </c>
      <c r="G37" s="222">
        <f t="shared" ca="1" si="12"/>
        <v>346251.20000000007</v>
      </c>
      <c r="H37" s="222">
        <f t="shared" ca="1" si="12"/>
        <v>569298.20000000007</v>
      </c>
      <c r="I37" s="222">
        <f t="shared" ca="1" si="12"/>
        <v>806460.20000000007</v>
      </c>
      <c r="J37" s="222">
        <f t="shared" ca="1" si="12"/>
        <v>1058434.2000000002</v>
      </c>
      <c r="K37" s="222">
        <f t="shared" ca="1" si="12"/>
        <v>1270000.2000000002</v>
      </c>
      <c r="L37" s="222">
        <f t="shared" ca="1" si="12"/>
        <v>1513620.6</v>
      </c>
      <c r="M37" s="222">
        <f t="shared" ca="1" si="12"/>
        <v>1811102.6</v>
      </c>
      <c r="N37" s="222">
        <f t="shared" ca="1" si="12"/>
        <v>2110188.8000000003</v>
      </c>
      <c r="O37" s="222">
        <f t="shared" ca="1" si="12"/>
        <v>890703.16000000061</v>
      </c>
      <c r="P37" s="222">
        <f t="shared" ca="1" si="12"/>
        <v>237673.96000000066</v>
      </c>
      <c r="Q37" s="222">
        <f t="shared" ca="1" si="12"/>
        <v>423937.56000000064</v>
      </c>
      <c r="R37" s="222">
        <f t="shared" ca="1" si="12"/>
        <v>602492.06000000064</v>
      </c>
      <c r="S37" s="222">
        <f t="shared" ca="1" si="12"/>
        <v>696628.72000000067</v>
      </c>
      <c r="T37" s="222">
        <f t="shared" ca="1" si="12"/>
        <v>872510.02000000072</v>
      </c>
    </row>
    <row r="38" spans="1:20" ht="18" x14ac:dyDescent="0.25">
      <c r="A38" s="208"/>
      <c r="B38" s="208"/>
      <c r="C38" s="192"/>
      <c r="D38" s="221"/>
      <c r="E38" s="148"/>
      <c r="F38" s="223" t="str">
        <f t="shared" ref="F38:S38" ca="1" si="13">IFERROR(IF(-F37/F35&lt;($Y$63+$AI$1004),"(NOTE 5)",""),"")</f>
        <v/>
      </c>
      <c r="G38" s="223" t="str">
        <f t="shared" ca="1" si="13"/>
        <v/>
      </c>
      <c r="H38" s="223" t="str">
        <f t="shared" ca="1" si="13"/>
        <v/>
      </c>
      <c r="I38" s="223" t="str">
        <f t="shared" ca="1" si="13"/>
        <v/>
      </c>
      <c r="J38" s="223" t="str">
        <f t="shared" ca="1" si="13"/>
        <v/>
      </c>
      <c r="K38" s="223" t="str">
        <f t="shared" ca="1" si="13"/>
        <v/>
      </c>
      <c r="L38" s="223" t="str">
        <f t="shared" ca="1" si="13"/>
        <v/>
      </c>
      <c r="M38" s="223" t="str">
        <f t="shared" ca="1" si="13"/>
        <v/>
      </c>
      <c r="N38" s="223" t="str">
        <f t="shared" ca="1" si="13"/>
        <v/>
      </c>
      <c r="O38" s="223" t="str">
        <f t="shared" ca="1" si="13"/>
        <v/>
      </c>
      <c r="P38" s="223" t="str">
        <f t="shared" ca="1" si="13"/>
        <v>(NOTE 5)</v>
      </c>
      <c r="Q38" s="223" t="str">
        <f t="shared" ca="1" si="13"/>
        <v/>
      </c>
      <c r="R38" s="223" t="str">
        <f t="shared" ca="1" si="13"/>
        <v/>
      </c>
      <c r="S38" s="223" t="str">
        <f t="shared" ca="1" si="13"/>
        <v/>
      </c>
      <c r="T38" s="223" t="str">
        <f ca="1">IFERROR(IF(-T37/T35&lt;($Y$63+$AI$1004),"(NOTES 4&amp;5)","(NOTE 4)"),"")</f>
        <v>(NOTE 4)</v>
      </c>
    </row>
    <row r="39" spans="1:20" ht="18" x14ac:dyDescent="0.25">
      <c r="A39" s="208"/>
      <c r="B39" s="244"/>
      <c r="C39" s="245" t="s">
        <v>101</v>
      </c>
      <c r="D39" s="226" t="s">
        <v>101</v>
      </c>
      <c r="E39" s="246"/>
      <c r="F39" s="227" t="s">
        <v>101</v>
      </c>
      <c r="G39" s="227" t="s">
        <v>101</v>
      </c>
      <c r="H39" s="227" t="s">
        <v>101</v>
      </c>
      <c r="I39" s="227" t="s">
        <v>101</v>
      </c>
      <c r="J39" s="227" t="s">
        <v>101</v>
      </c>
      <c r="K39" s="227" t="s">
        <v>101</v>
      </c>
      <c r="L39" s="227" t="s">
        <v>101</v>
      </c>
      <c r="M39" s="227" t="s">
        <v>101</v>
      </c>
      <c r="N39" s="227" t="s">
        <v>101</v>
      </c>
      <c r="O39" s="227" t="s">
        <v>101</v>
      </c>
      <c r="P39" s="227" t="s">
        <v>101</v>
      </c>
      <c r="Q39" s="227" t="s">
        <v>101</v>
      </c>
      <c r="R39" s="227" t="s">
        <v>101</v>
      </c>
      <c r="S39" s="227" t="s">
        <v>101</v>
      </c>
      <c r="T39" s="227" t="s">
        <v>101</v>
      </c>
    </row>
    <row r="40" spans="1:20" ht="18" x14ac:dyDescent="0.25">
      <c r="A40" s="208"/>
      <c r="B40" s="100"/>
      <c r="C40" s="100"/>
      <c r="D40" s="100"/>
      <c r="E40" s="100"/>
      <c r="F40" s="100"/>
      <c r="G40" s="100"/>
      <c r="H40" s="216"/>
      <c r="I40" s="216"/>
      <c r="J40" s="216"/>
      <c r="K40" s="216"/>
      <c r="L40" s="216"/>
      <c r="M40" s="216"/>
      <c r="N40" s="216"/>
      <c r="O40" s="216"/>
      <c r="P40" s="216"/>
      <c r="Q40" s="216"/>
      <c r="R40" s="216"/>
      <c r="S40" s="216"/>
      <c r="T40" s="247"/>
    </row>
    <row r="41" spans="1:20" ht="18" x14ac:dyDescent="0.25">
      <c r="A41" s="208"/>
      <c r="B41" s="100"/>
      <c r="C41" s="100"/>
      <c r="D41" s="100"/>
      <c r="E41" s="100"/>
      <c r="F41" s="100"/>
      <c r="G41" s="100"/>
      <c r="H41" s="248"/>
      <c r="I41" s="100"/>
      <c r="J41" s="100"/>
      <c r="K41" s="100"/>
      <c r="L41" s="100"/>
      <c r="M41" s="100"/>
      <c r="N41" s="100"/>
      <c r="O41" s="100"/>
      <c r="P41" s="100"/>
      <c r="Q41" s="100"/>
      <c r="R41" s="100"/>
      <c r="S41" s="100"/>
      <c r="T41" s="100"/>
    </row>
    <row r="42" spans="1:20" ht="18" x14ac:dyDescent="0.25">
      <c r="A42" s="208"/>
      <c r="B42" s="100"/>
      <c r="C42" s="100"/>
      <c r="D42" s="100"/>
      <c r="E42" s="100"/>
      <c r="F42" s="100"/>
      <c r="G42" s="100"/>
      <c r="H42" s="248"/>
      <c r="I42" s="100"/>
      <c r="J42" s="97"/>
      <c r="K42" s="97"/>
      <c r="L42" s="97"/>
      <c r="M42" s="97"/>
      <c r="N42" s="97"/>
      <c r="O42" s="97"/>
      <c r="P42" s="100"/>
      <c r="Q42" s="100"/>
      <c r="R42" s="100"/>
      <c r="S42" s="100"/>
      <c r="T42" s="100"/>
    </row>
    <row r="43" spans="1:20" ht="18" x14ac:dyDescent="0.25">
      <c r="A43" s="100"/>
      <c r="B43" s="249" t="s">
        <v>61</v>
      </c>
      <c r="C43" s="208"/>
      <c r="D43" s="196"/>
      <c r="E43" s="250"/>
      <c r="F43" s="196"/>
      <c r="G43" s="196"/>
      <c r="H43" s="196"/>
      <c r="I43" s="100"/>
      <c r="J43" s="97"/>
      <c r="K43" s="97"/>
      <c r="L43" s="97"/>
      <c r="M43" s="97"/>
      <c r="N43" s="97"/>
      <c r="O43" s="97"/>
      <c r="P43" s="100"/>
      <c r="Q43" s="100"/>
      <c r="R43" s="100"/>
      <c r="S43" s="100"/>
      <c r="T43" s="100"/>
    </row>
    <row r="44" spans="1:20" ht="18" x14ac:dyDescent="0.25">
      <c r="A44" s="210" t="s">
        <v>62</v>
      </c>
      <c r="B44" s="224" t="s">
        <v>197</v>
      </c>
      <c r="C44" s="100"/>
      <c r="D44" s="192"/>
      <c r="E44" s="216"/>
      <c r="F44" s="216"/>
      <c r="G44" s="216"/>
      <c r="H44" s="216"/>
      <c r="I44" s="100"/>
      <c r="J44" s="97"/>
      <c r="K44" s="97"/>
      <c r="L44" s="97"/>
      <c r="M44" s="97"/>
      <c r="N44" s="97"/>
      <c r="O44" s="97"/>
      <c r="P44" s="100"/>
      <c r="Q44" s="100"/>
      <c r="R44" s="100"/>
      <c r="S44" s="100"/>
      <c r="T44" s="100"/>
    </row>
    <row r="45" spans="1:20" ht="18" x14ac:dyDescent="0.25">
      <c r="A45" s="210" t="s">
        <v>63</v>
      </c>
      <c r="B45" s="148" t="str">
        <f>IF(Remaining_Budgeted_Months=0,"",IF(Remaining_Budgeted_Months/Frequency_of_Contributions_Number=1,"Reserve Contributions for "&amp;Current_Fiscal_Year&amp;" are budgeted; ","Reserve Contributions for "&amp;Current_Fiscal_Year&amp;" are the remaining budgeted; "))&amp;IF(First_Year_of_Recommendation=Current_Fiscal_Year+1,First_Year_of_Recommendation&amp;" is the first year of recommended contributions.",Current_Fiscal_Year+1&amp;" contributions are budgeted; "&amp;First_Year_of_Recommendation&amp;" is the first year of recommended contributions.")</f>
        <v>Reserve Contributions for 2025 are the remaining budgeted; 2026 is the first year of recommended contributions.</v>
      </c>
      <c r="C45" s="100"/>
      <c r="D45" s="216"/>
      <c r="E45" s="221"/>
      <c r="F45" s="192"/>
      <c r="G45" s="192"/>
      <c r="H45" s="192"/>
      <c r="I45" s="100"/>
      <c r="J45" s="97"/>
      <c r="K45" s="97"/>
      <c r="L45" s="97"/>
      <c r="M45" s="97"/>
      <c r="N45" s="97"/>
      <c r="O45" s="97"/>
      <c r="P45" s="100"/>
      <c r="Q45" s="100"/>
      <c r="R45" s="100"/>
      <c r="S45" s="100"/>
      <c r="T45" s="100"/>
    </row>
    <row r="46" spans="1:20" ht="18" x14ac:dyDescent="0.25">
      <c r="A46" s="210" t="s">
        <v>64</v>
      </c>
      <c r="B46" s="251">
        <f>[0]!Interest</f>
        <v>3.5000000000000003E-2</v>
      </c>
      <c r="C46" s="148" t="str">
        <f>"is the estimated annual rate of return on invested reserves"&amp;IF(Remaining_Budgeted_Months&lt;12,CONCATENATE("; ",Current_Fiscal_Year," is a partial year of interest earned."),".")</f>
        <v>is the estimated annual rate of return on invested reserves; 2025 is a partial year of interest earned.</v>
      </c>
      <c r="D46" s="100"/>
      <c r="E46" s="221"/>
      <c r="F46" s="216"/>
      <c r="G46" s="192"/>
      <c r="H46" s="192"/>
      <c r="I46" s="100"/>
      <c r="J46" s="100"/>
      <c r="K46" s="100"/>
      <c r="L46" s="100"/>
      <c r="M46" s="100"/>
      <c r="N46" s="100"/>
      <c r="O46" s="100"/>
      <c r="P46" s="100"/>
      <c r="Q46" s="100"/>
      <c r="R46" s="100"/>
      <c r="S46" s="100"/>
      <c r="T46" s="100"/>
    </row>
    <row r="47" spans="1:20" ht="18" x14ac:dyDescent="0.25">
      <c r="A47" s="210" t="s">
        <v>127</v>
      </c>
      <c r="B47" s="148" t="s">
        <v>198</v>
      </c>
      <c r="C47" s="100"/>
      <c r="D47" s="216"/>
      <c r="E47" s="216"/>
      <c r="F47" s="216"/>
      <c r="G47" s="216"/>
      <c r="H47" s="216"/>
      <c r="I47" s="100"/>
      <c r="J47" s="100"/>
      <c r="K47" s="100"/>
      <c r="L47" s="100"/>
      <c r="M47" s="100"/>
      <c r="N47" s="100"/>
      <c r="O47" s="100"/>
      <c r="P47" s="100"/>
      <c r="Q47" s="100"/>
      <c r="R47" s="100"/>
      <c r="S47" s="100"/>
      <c r="T47" s="100"/>
    </row>
    <row r="48" spans="1:20" ht="18" x14ac:dyDescent="0.25">
      <c r="A48" s="210" t="str">
        <f ca="1">IF(OR(COUNTIF(A1:T40,"(NOTE 5)")&gt;0,COUNTIF(A1:T40,"(NOTES 4&amp;5)")&gt;0),"5)","")</f>
        <v>5)</v>
      </c>
      <c r="B48" s="148" t="str">
        <f ca="1">IF(OR(COUNTIF(A1:T40,"(NOTE 5)")&gt;0,COUNTIF(A1:T40,"(NOTES 4&amp;5)")&gt;0),"Threshold Funding Year (reserve balance at critical point).","")</f>
        <v>Threshold Funding Year (reserve balance at critical point).</v>
      </c>
      <c r="C48" s="100"/>
      <c r="D48" s="252"/>
      <c r="E48" s="216"/>
      <c r="F48" s="216"/>
      <c r="G48" s="216"/>
      <c r="H48" s="216"/>
      <c r="I48" s="100"/>
      <c r="J48" s="100"/>
      <c r="K48" s="100"/>
      <c r="L48" s="100"/>
      <c r="M48" s="100"/>
      <c r="N48" s="100"/>
      <c r="O48" s="100"/>
      <c r="P48" s="100"/>
      <c r="Q48" s="100"/>
      <c r="R48" s="100"/>
      <c r="S48" s="100"/>
      <c r="T48" s="100"/>
    </row>
    <row r="49" spans="1:25" ht="18" x14ac:dyDescent="0.25">
      <c r="A49" s="97"/>
      <c r="B49" s="253"/>
      <c r="C49" s="97"/>
      <c r="D49" s="97"/>
      <c r="E49" s="97"/>
      <c r="F49" s="97"/>
      <c r="G49" s="97"/>
      <c r="H49" s="97"/>
      <c r="I49" s="97"/>
      <c r="J49" s="97"/>
      <c r="K49" s="97"/>
      <c r="L49" s="97"/>
      <c r="M49" s="97"/>
      <c r="N49" s="97"/>
      <c r="O49" s="97"/>
      <c r="P49" s="97"/>
      <c r="Q49" s="97"/>
      <c r="R49" s="97"/>
      <c r="S49" s="97"/>
      <c r="T49" s="97"/>
    </row>
    <row r="50" spans="1:25" ht="15.75" thickBot="1" x14ac:dyDescent="0.3">
      <c r="A50" s="97"/>
      <c r="B50" s="97"/>
      <c r="C50" s="97"/>
      <c r="D50" s="97"/>
      <c r="E50" s="97"/>
      <c r="F50" s="97"/>
      <c r="G50" s="97"/>
      <c r="H50" s="97"/>
      <c r="I50" s="97"/>
      <c r="J50" s="97"/>
      <c r="K50" s="97"/>
      <c r="L50" s="97"/>
      <c r="M50" s="97"/>
      <c r="N50" s="97"/>
      <c r="O50" s="97"/>
      <c r="P50" s="97"/>
      <c r="Q50" s="97"/>
      <c r="R50" s="97"/>
      <c r="S50" s="97"/>
      <c r="T50" s="97"/>
    </row>
    <row r="51" spans="1:25" ht="17.25" thickTop="1" thickBot="1" x14ac:dyDescent="0.3">
      <c r="A51" s="97"/>
      <c r="B51" s="97"/>
      <c r="C51" s="97"/>
      <c r="D51" s="97"/>
      <c r="E51" s="97"/>
      <c r="F51" s="97"/>
      <c r="G51" s="97"/>
      <c r="H51" s="97"/>
      <c r="I51" s="97"/>
      <c r="J51" s="97"/>
      <c r="K51" s="293" t="s">
        <v>128</v>
      </c>
      <c r="L51" s="294"/>
      <c r="M51" s="294"/>
      <c r="N51" s="294"/>
      <c r="O51" s="294"/>
      <c r="P51" s="294"/>
      <c r="Q51" s="294"/>
      <c r="R51" s="294"/>
      <c r="S51" s="295"/>
      <c r="V51" s="302" t="s">
        <v>129</v>
      </c>
      <c r="W51" s="303"/>
      <c r="X51" s="303"/>
      <c r="Y51" s="304"/>
    </row>
    <row r="52" spans="1:25" ht="15.75" x14ac:dyDescent="0.25">
      <c r="A52" s="97"/>
      <c r="B52" s="97"/>
      <c r="C52" s="97"/>
      <c r="D52" s="97"/>
      <c r="E52" s="97"/>
      <c r="F52" s="97"/>
      <c r="G52" s="97"/>
      <c r="H52" s="97"/>
      <c r="I52" s="97"/>
      <c r="J52" s="97"/>
      <c r="K52" s="296"/>
      <c r="L52" s="297"/>
      <c r="M52" s="297"/>
      <c r="N52" s="297"/>
      <c r="O52" s="297"/>
      <c r="P52" s="297"/>
      <c r="Q52" s="297"/>
      <c r="R52" s="297"/>
      <c r="S52" s="298"/>
      <c r="T52" s="97"/>
      <c r="V52" s="261" t="s">
        <v>8</v>
      </c>
      <c r="X52" s="39"/>
      <c r="Y52" s="262">
        <f>'Property Info'!B10</f>
        <v>2025</v>
      </c>
    </row>
    <row r="53" spans="1:25" ht="16.5" thickBot="1" x14ac:dyDescent="0.3">
      <c r="A53" s="97"/>
      <c r="B53" s="97"/>
      <c r="C53" s="97"/>
      <c r="D53" s="97"/>
      <c r="E53" s="97"/>
      <c r="F53" s="97"/>
      <c r="G53" s="97"/>
      <c r="H53" s="97"/>
      <c r="I53" s="97"/>
      <c r="J53" s="97"/>
      <c r="K53" s="299"/>
      <c r="L53" s="300"/>
      <c r="M53" s="300"/>
      <c r="N53" s="300"/>
      <c r="O53" s="300"/>
      <c r="P53" s="300"/>
      <c r="Q53" s="300"/>
      <c r="R53" s="300"/>
      <c r="S53" s="301"/>
      <c r="T53" s="97"/>
      <c r="V53" s="261" t="s">
        <v>130</v>
      </c>
      <c r="W53" s="39"/>
      <c r="X53" s="39"/>
      <c r="Y53" s="262">
        <f>'Property Info'!$B$12</f>
        <v>2026</v>
      </c>
    </row>
    <row r="54" spans="1:25" ht="16.5" thickTop="1" x14ac:dyDescent="0.25">
      <c r="A54" s="97"/>
      <c r="B54" s="97"/>
      <c r="C54" s="97"/>
      <c r="D54" s="97"/>
      <c r="E54" s="97"/>
      <c r="F54" s="97"/>
      <c r="G54" s="97"/>
      <c r="H54" s="97"/>
      <c r="I54" s="97"/>
      <c r="J54" s="97"/>
      <c r="K54" s="305" t="s">
        <v>131</v>
      </c>
      <c r="L54" s="307" t="s">
        <v>132</v>
      </c>
      <c r="M54" s="309" t="s">
        <v>133</v>
      </c>
      <c r="N54" s="305" t="s">
        <v>131</v>
      </c>
      <c r="O54" s="307" t="s">
        <v>132</v>
      </c>
      <c r="P54" s="309" t="s">
        <v>133</v>
      </c>
      <c r="Q54" s="305" t="s">
        <v>131</v>
      </c>
      <c r="R54" s="307" t="s">
        <v>132</v>
      </c>
      <c r="S54" s="309" t="s">
        <v>133</v>
      </c>
      <c r="T54" s="97"/>
      <c r="V54" s="261" t="s">
        <v>134</v>
      </c>
      <c r="W54" s="39"/>
      <c r="X54" s="39"/>
      <c r="Y54" s="263">
        <v>275731.36</v>
      </c>
    </row>
    <row r="55" spans="1:25" ht="15.75" x14ac:dyDescent="0.25">
      <c r="A55" s="97"/>
      <c r="B55" s="97"/>
      <c r="C55" s="97"/>
      <c r="D55" s="97"/>
      <c r="E55" s="97"/>
      <c r="F55" s="97"/>
      <c r="G55" s="97"/>
      <c r="H55" s="97"/>
      <c r="I55" s="97"/>
      <c r="J55" s="97"/>
      <c r="K55" s="306"/>
      <c r="L55" s="308"/>
      <c r="M55" s="310"/>
      <c r="N55" s="306"/>
      <c r="O55" s="308"/>
      <c r="P55" s="310"/>
      <c r="Q55" s="306"/>
      <c r="R55" s="308"/>
      <c r="S55" s="310"/>
      <c r="T55" s="97"/>
      <c r="V55" s="261" t="s">
        <v>135</v>
      </c>
      <c r="Y55" s="264">
        <f>'Property Info'!$B$15</f>
        <v>45703</v>
      </c>
    </row>
    <row r="56" spans="1:25" ht="15.75" x14ac:dyDescent="0.25">
      <c r="A56" s="97"/>
      <c r="B56" s="97"/>
      <c r="C56" s="97"/>
      <c r="D56" s="97"/>
      <c r="E56" s="97"/>
      <c r="F56" s="97"/>
      <c r="G56" s="97"/>
      <c r="H56" s="97"/>
      <c r="I56" s="97"/>
      <c r="J56" s="97"/>
      <c r="K56" s="306"/>
      <c r="L56" s="308"/>
      <c r="M56" s="310"/>
      <c r="N56" s="306"/>
      <c r="O56" s="308"/>
      <c r="P56" s="310"/>
      <c r="Q56" s="306"/>
      <c r="R56" s="308"/>
      <c r="S56" s="310"/>
      <c r="T56" s="97"/>
      <c r="V56" s="261" t="s">
        <v>14</v>
      </c>
      <c r="Y56" s="265" t="str">
        <f>'Property Info'!$B$16</f>
        <v>No</v>
      </c>
    </row>
    <row r="57" spans="1:25" ht="15.75" x14ac:dyDescent="0.25">
      <c r="A57" s="97"/>
      <c r="B57" s="97"/>
      <c r="C57" s="97"/>
      <c r="D57" s="97"/>
      <c r="E57" s="97"/>
      <c r="F57" s="97"/>
      <c r="G57" s="97"/>
      <c r="H57" s="97"/>
      <c r="I57" s="97"/>
      <c r="J57" s="97"/>
      <c r="K57" s="311">
        <f>Current_Fiscal_Year+1</f>
        <v>2026</v>
      </c>
      <c r="L57" s="312">
        <f ca="1">F11</f>
        <v>224000</v>
      </c>
      <c r="M57" s="314">
        <f ca="1">F16</f>
        <v>729414.96</v>
      </c>
      <c r="N57" s="311">
        <f>K57+10</f>
        <v>2036</v>
      </c>
      <c r="O57" s="312">
        <f ca="1">P11</f>
        <v>168500</v>
      </c>
      <c r="P57" s="314">
        <f ca="1">P16</f>
        <v>532126.70000000007</v>
      </c>
      <c r="Q57" s="311">
        <f>N57+10</f>
        <v>2046</v>
      </c>
      <c r="R57" s="312">
        <f ca="1">K32</f>
        <v>226500</v>
      </c>
      <c r="S57" s="314">
        <f ca="1">K37</f>
        <v>1270000.2000000002</v>
      </c>
      <c r="T57" s="97"/>
      <c r="V57" s="261" t="s">
        <v>136</v>
      </c>
      <c r="X57" s="39"/>
      <c r="Y57" s="263">
        <v>223260</v>
      </c>
    </row>
    <row r="58" spans="1:25" ht="15.75" x14ac:dyDescent="0.25">
      <c r="A58" s="97"/>
      <c r="B58" s="97"/>
      <c r="C58" s="97"/>
      <c r="D58" s="97"/>
      <c r="E58" s="97"/>
      <c r="F58" s="97"/>
      <c r="G58" s="97"/>
      <c r="H58" s="97"/>
      <c r="I58" s="97"/>
      <c r="J58" s="97"/>
      <c r="K58" s="311"/>
      <c r="L58" s="313"/>
      <c r="M58" s="315"/>
      <c r="N58" s="311"/>
      <c r="O58" s="313"/>
      <c r="P58" s="315"/>
      <c r="Q58" s="311"/>
      <c r="R58" s="313"/>
      <c r="S58" s="315"/>
      <c r="T58" s="97"/>
      <c r="V58" s="261" t="s">
        <v>137</v>
      </c>
      <c r="X58" s="39"/>
      <c r="Y58" s="263">
        <v>0</v>
      </c>
    </row>
    <row r="59" spans="1:25" ht="15.75" x14ac:dyDescent="0.25">
      <c r="A59" s="97"/>
      <c r="B59" s="97"/>
      <c r="C59" s="97"/>
      <c r="D59" s="97"/>
      <c r="E59" s="97"/>
      <c r="F59" s="97"/>
      <c r="G59" s="97"/>
      <c r="H59" s="97"/>
      <c r="I59" s="97"/>
      <c r="J59" s="97"/>
      <c r="K59" s="311">
        <f>K57+1</f>
        <v>2027</v>
      </c>
      <c r="L59" s="312">
        <f ca="1">G11</f>
        <v>224000</v>
      </c>
      <c r="M59" s="314">
        <f ca="1">G16</f>
        <v>427452.46000000008</v>
      </c>
      <c r="N59" s="311">
        <f>N57+1</f>
        <v>2037</v>
      </c>
      <c r="O59" s="312">
        <f ca="1">Q11</f>
        <v>173600</v>
      </c>
      <c r="P59" s="314">
        <f ca="1">Q16</f>
        <v>332106.50000000006</v>
      </c>
      <c r="Q59" s="311">
        <f>Q57+1</f>
        <v>2047</v>
      </c>
      <c r="R59" s="312">
        <f ca="1">L32</f>
        <v>233300</v>
      </c>
      <c r="S59" s="314">
        <f ca="1">L37</f>
        <v>1513620.6</v>
      </c>
      <c r="T59" s="97"/>
      <c r="V59" s="261" t="s">
        <v>138</v>
      </c>
      <c r="W59" s="39"/>
      <c r="X59" s="39"/>
      <c r="Y59" s="266">
        <f>'Property Info'!$B$19</f>
        <v>0.03</v>
      </c>
    </row>
    <row r="60" spans="1:25" ht="15.75" x14ac:dyDescent="0.25">
      <c r="A60" s="97"/>
      <c r="B60" s="97"/>
      <c r="C60" s="97"/>
      <c r="D60" s="97"/>
      <c r="E60" s="97"/>
      <c r="F60" s="97"/>
      <c r="G60" s="97"/>
      <c r="H60" s="97"/>
      <c r="I60" s="97"/>
      <c r="J60" s="97"/>
      <c r="K60" s="311"/>
      <c r="L60" s="313"/>
      <c r="M60" s="315"/>
      <c r="N60" s="311"/>
      <c r="O60" s="313"/>
      <c r="P60" s="315"/>
      <c r="Q60" s="311"/>
      <c r="R60" s="313"/>
      <c r="S60" s="315"/>
      <c r="T60" s="97"/>
      <c r="V60" s="261" t="s">
        <v>139</v>
      </c>
      <c r="W60" s="39"/>
      <c r="X60" s="39"/>
      <c r="Y60" s="262">
        <f>'Property Info'!$B$13</f>
        <v>11</v>
      </c>
    </row>
    <row r="61" spans="1:25" ht="15.75" x14ac:dyDescent="0.25">
      <c r="A61" s="97"/>
      <c r="B61" s="97"/>
      <c r="C61" s="97"/>
      <c r="D61" s="97"/>
      <c r="E61" s="97"/>
      <c r="F61" s="97"/>
      <c r="G61" s="97"/>
      <c r="H61" s="97"/>
      <c r="I61" s="97"/>
      <c r="J61" s="97"/>
      <c r="K61" s="311">
        <f>K59+1</f>
        <v>2028</v>
      </c>
      <c r="L61" s="312">
        <f ca="1">H11</f>
        <v>224000</v>
      </c>
      <c r="M61" s="314">
        <f ca="1">H16</f>
        <v>155629.81000000011</v>
      </c>
      <c r="N61" s="311">
        <f>N59+1</f>
        <v>2038</v>
      </c>
      <c r="O61" s="312">
        <f ca="1">R11</f>
        <v>178800</v>
      </c>
      <c r="P61" s="314">
        <f ca="1">R16</f>
        <v>503350.3</v>
      </c>
      <c r="Q61" s="311">
        <f>Q59+1</f>
        <v>2048</v>
      </c>
      <c r="R61" s="312">
        <f ca="1">M32</f>
        <v>240300</v>
      </c>
      <c r="S61" s="314">
        <f ca="1">M37</f>
        <v>1811102.6</v>
      </c>
      <c r="T61" s="97"/>
      <c r="V61" s="261" t="s">
        <v>140</v>
      </c>
      <c r="W61" s="39"/>
      <c r="X61" s="39"/>
      <c r="Y61" s="262">
        <f>'Property Info'!$B$21</f>
        <v>12</v>
      </c>
    </row>
    <row r="62" spans="1:25" ht="15.75" x14ac:dyDescent="0.25">
      <c r="A62" s="97"/>
      <c r="B62" s="97"/>
      <c r="C62" s="97"/>
      <c r="D62" s="97"/>
      <c r="E62" s="97"/>
      <c r="F62" s="97"/>
      <c r="G62" s="97"/>
      <c r="H62" s="97"/>
      <c r="I62" s="97"/>
      <c r="J62" s="97"/>
      <c r="K62" s="311"/>
      <c r="L62" s="313"/>
      <c r="M62" s="315"/>
      <c r="N62" s="311"/>
      <c r="O62" s="313"/>
      <c r="P62" s="315"/>
      <c r="Q62" s="311"/>
      <c r="R62" s="313"/>
      <c r="S62" s="315"/>
      <c r="T62" s="97"/>
      <c r="V62" s="261" t="s">
        <v>141</v>
      </c>
      <c r="W62" s="39"/>
      <c r="X62" s="39"/>
      <c r="Y62" s="263">
        <f>'Property Info'!$B$23</f>
        <v>100</v>
      </c>
    </row>
    <row r="63" spans="1:25" ht="16.5" thickBot="1" x14ac:dyDescent="0.3">
      <c r="A63" s="97"/>
      <c r="B63" s="97"/>
      <c r="C63" s="97"/>
      <c r="D63" s="97"/>
      <c r="E63" s="97"/>
      <c r="F63" s="97"/>
      <c r="G63" s="97"/>
      <c r="H63" s="97"/>
      <c r="I63" s="97"/>
      <c r="J63" s="97"/>
      <c r="K63" s="311">
        <f>K61+1</f>
        <v>2029</v>
      </c>
      <c r="L63" s="312">
        <f ca="1">I11</f>
        <v>137000</v>
      </c>
      <c r="M63" s="314">
        <f ca="1">I16</f>
        <v>280662.51000000013</v>
      </c>
      <c r="N63" s="311">
        <f>N61+1</f>
        <v>2039</v>
      </c>
      <c r="O63" s="312">
        <f ca="1">S11</f>
        <v>184200</v>
      </c>
      <c r="P63" s="314">
        <f ca="1">S16</f>
        <v>482034.20000000007</v>
      </c>
      <c r="Q63" s="311">
        <f>Q61+1</f>
        <v>2049</v>
      </c>
      <c r="R63" s="312">
        <f ca="1">N32</f>
        <v>247500</v>
      </c>
      <c r="S63" s="314">
        <f ca="1">N37</f>
        <v>2110188.8000000003</v>
      </c>
      <c r="T63" s="97"/>
      <c r="V63" s="267" t="s">
        <v>177</v>
      </c>
      <c r="W63" s="268"/>
      <c r="X63" s="268"/>
      <c r="Y63" s="269">
        <v>0.1</v>
      </c>
    </row>
    <row r="64" spans="1:25" x14ac:dyDescent="0.25">
      <c r="A64" s="97"/>
      <c r="B64" s="97"/>
      <c r="C64" s="97"/>
      <c r="D64" s="97"/>
      <c r="E64" s="97"/>
      <c r="F64" s="97"/>
      <c r="G64" s="97"/>
      <c r="H64" s="97"/>
      <c r="I64" s="97"/>
      <c r="J64" s="97"/>
      <c r="K64" s="311"/>
      <c r="L64" s="313"/>
      <c r="M64" s="315"/>
      <c r="N64" s="311"/>
      <c r="O64" s="313"/>
      <c r="P64" s="315"/>
      <c r="Q64" s="311"/>
      <c r="R64" s="313"/>
      <c r="S64" s="315"/>
      <c r="T64" s="97"/>
    </row>
    <row r="65" spans="1:20" x14ac:dyDescent="0.25">
      <c r="A65" s="97"/>
      <c r="B65" s="97"/>
      <c r="C65" s="97"/>
      <c r="D65" s="97"/>
      <c r="E65" s="97"/>
      <c r="F65" s="97"/>
      <c r="G65" s="97"/>
      <c r="H65" s="97"/>
      <c r="I65" s="97"/>
      <c r="J65" s="97"/>
      <c r="K65" s="311">
        <f>K63+1</f>
        <v>2030</v>
      </c>
      <c r="L65" s="312">
        <f ca="1">J11</f>
        <v>141100</v>
      </c>
      <c r="M65" s="314">
        <f ca="1">J16</f>
        <v>162047.93000000011</v>
      </c>
      <c r="N65" s="311">
        <f>N63+1</f>
        <v>2040</v>
      </c>
      <c r="O65" s="312">
        <f ca="1">T11</f>
        <v>189700</v>
      </c>
      <c r="P65" s="314">
        <f ca="1">T16</f>
        <v>691925.20000000007</v>
      </c>
      <c r="Q65" s="311">
        <f>Q63+1</f>
        <v>2050</v>
      </c>
      <c r="R65" s="312">
        <f ca="1">O32</f>
        <v>254900</v>
      </c>
      <c r="S65" s="314">
        <f ca="1">O37</f>
        <v>890703.16000000061</v>
      </c>
      <c r="T65" s="97"/>
    </row>
    <row r="66" spans="1:20" x14ac:dyDescent="0.25">
      <c r="A66" s="97"/>
      <c r="B66" s="97"/>
      <c r="C66" s="97"/>
      <c r="D66" s="97"/>
      <c r="E66" s="97"/>
      <c r="F66" s="97"/>
      <c r="G66" s="97"/>
      <c r="H66" s="97"/>
      <c r="I66" s="97"/>
      <c r="J66" s="97"/>
      <c r="K66" s="311"/>
      <c r="L66" s="313"/>
      <c r="M66" s="315"/>
      <c r="N66" s="311"/>
      <c r="O66" s="313"/>
      <c r="P66" s="315"/>
      <c r="Q66" s="311"/>
      <c r="R66" s="313"/>
      <c r="S66" s="315"/>
      <c r="T66" s="97"/>
    </row>
    <row r="67" spans="1:20" x14ac:dyDescent="0.25">
      <c r="A67" s="97"/>
      <c r="B67" s="97"/>
      <c r="C67" s="97"/>
      <c r="D67" s="97"/>
      <c r="E67" s="97"/>
      <c r="F67" s="97"/>
      <c r="G67" s="97"/>
      <c r="H67" s="97"/>
      <c r="I67" s="97"/>
      <c r="J67" s="97"/>
      <c r="K67" s="311">
        <f>K65+1</f>
        <v>2031</v>
      </c>
      <c r="L67" s="312">
        <f ca="1">K11</f>
        <v>145300</v>
      </c>
      <c r="M67" s="314">
        <f ca="1">K16</f>
        <v>192706.3300000001</v>
      </c>
      <c r="N67" s="311">
        <f>N65+1</f>
        <v>2041</v>
      </c>
      <c r="O67" s="312">
        <f ca="1">F32</f>
        <v>195400</v>
      </c>
      <c r="P67" s="314">
        <f ca="1">F37</f>
        <v>506928.10000000003</v>
      </c>
      <c r="Q67" s="311">
        <f>Q65+1</f>
        <v>2051</v>
      </c>
      <c r="R67" s="312">
        <f ca="1">P32</f>
        <v>262500</v>
      </c>
      <c r="S67" s="314">
        <f ca="1">P37</f>
        <v>237673.96000000066</v>
      </c>
      <c r="T67" s="97"/>
    </row>
    <row r="68" spans="1:20" x14ac:dyDescent="0.25">
      <c r="A68" s="97"/>
      <c r="B68" s="97"/>
      <c r="C68" s="97"/>
      <c r="D68" s="97"/>
      <c r="E68" s="97"/>
      <c r="F68" s="97"/>
      <c r="G68" s="97"/>
      <c r="H68" s="97"/>
      <c r="I68" s="97"/>
      <c r="J68" s="97"/>
      <c r="K68" s="311"/>
      <c r="L68" s="313"/>
      <c r="M68" s="315"/>
      <c r="N68" s="311"/>
      <c r="O68" s="313"/>
      <c r="P68" s="315"/>
      <c r="Q68" s="311"/>
      <c r="R68" s="313"/>
      <c r="S68" s="315"/>
      <c r="T68" s="97"/>
    </row>
    <row r="69" spans="1:20" x14ac:dyDescent="0.25">
      <c r="A69" s="97"/>
      <c r="B69" s="97"/>
      <c r="C69" s="97"/>
      <c r="D69" s="97"/>
      <c r="E69" s="97"/>
      <c r="F69" s="97"/>
      <c r="G69" s="97"/>
      <c r="H69" s="97"/>
      <c r="I69" s="97"/>
      <c r="J69" s="97"/>
      <c r="K69" s="311">
        <f>K67+1</f>
        <v>2032</v>
      </c>
      <c r="L69" s="312">
        <f ca="1">L11</f>
        <v>149700</v>
      </c>
      <c r="M69" s="314">
        <f ca="1">L16</f>
        <v>312839.93000000005</v>
      </c>
      <c r="N69" s="311">
        <f>N67+1</f>
        <v>2042</v>
      </c>
      <c r="O69" s="312">
        <f ca="1">G32</f>
        <v>201300</v>
      </c>
      <c r="P69" s="314">
        <f ca="1">G37</f>
        <v>346251.20000000007</v>
      </c>
      <c r="Q69" s="311">
        <f>Q67+1</f>
        <v>2052</v>
      </c>
      <c r="R69" s="312">
        <f ca="1">Q32</f>
        <v>270400</v>
      </c>
      <c r="S69" s="314">
        <f ca="1">Q37</f>
        <v>423937.56000000064</v>
      </c>
      <c r="T69" s="97"/>
    </row>
    <row r="70" spans="1:20" x14ac:dyDescent="0.25">
      <c r="A70" s="97"/>
      <c r="B70" s="97"/>
      <c r="C70" s="97"/>
      <c r="D70" s="97"/>
      <c r="E70" s="97"/>
      <c r="F70" s="97"/>
      <c r="G70" s="97"/>
      <c r="H70" s="97"/>
      <c r="I70" s="97"/>
      <c r="J70" s="97"/>
      <c r="K70" s="311"/>
      <c r="L70" s="313"/>
      <c r="M70" s="315"/>
      <c r="N70" s="311"/>
      <c r="O70" s="313"/>
      <c r="P70" s="315"/>
      <c r="Q70" s="311"/>
      <c r="R70" s="313"/>
      <c r="S70" s="315"/>
      <c r="T70" s="97"/>
    </row>
    <row r="71" spans="1:20" x14ac:dyDescent="0.25">
      <c r="A71" s="97"/>
      <c r="B71" s="97"/>
      <c r="C71" s="97"/>
      <c r="D71" s="97"/>
      <c r="E71" s="97"/>
      <c r="F71" s="97"/>
      <c r="G71" s="97"/>
      <c r="H71" s="97"/>
      <c r="I71" s="97"/>
      <c r="J71" s="97"/>
      <c r="K71" s="311">
        <f>K69+1</f>
        <v>2033</v>
      </c>
      <c r="L71" s="312">
        <f ca="1">M11</f>
        <v>154200</v>
      </c>
      <c r="M71" s="314">
        <f ca="1">M16</f>
        <v>480687.93000000005</v>
      </c>
      <c r="N71" s="311">
        <f>N69+1</f>
        <v>2043</v>
      </c>
      <c r="O71" s="312">
        <f ca="1">H32</f>
        <v>207300</v>
      </c>
      <c r="P71" s="314">
        <f ca="1">H37</f>
        <v>569298.20000000007</v>
      </c>
      <c r="Q71" s="311">
        <f>Q69+1</f>
        <v>2053</v>
      </c>
      <c r="R71" s="312">
        <f ca="1">R32</f>
        <v>278500</v>
      </c>
      <c r="S71" s="314">
        <f ca="1">R37</f>
        <v>602492.06000000064</v>
      </c>
      <c r="T71" s="97"/>
    </row>
    <row r="72" spans="1:20" x14ac:dyDescent="0.25">
      <c r="A72" s="97"/>
      <c r="B72" s="97"/>
      <c r="C72" s="97"/>
      <c r="D72" s="97"/>
      <c r="E72" s="97"/>
      <c r="F72" s="97"/>
      <c r="G72" s="97"/>
      <c r="H72" s="97"/>
      <c r="I72" s="97"/>
      <c r="J72" s="97"/>
      <c r="K72" s="311"/>
      <c r="L72" s="313"/>
      <c r="M72" s="315"/>
      <c r="N72" s="311"/>
      <c r="O72" s="313"/>
      <c r="P72" s="315"/>
      <c r="Q72" s="311"/>
      <c r="R72" s="313"/>
      <c r="S72" s="315"/>
      <c r="T72" s="97"/>
    </row>
    <row r="73" spans="1:20" x14ac:dyDescent="0.25">
      <c r="A73" s="97"/>
      <c r="B73" s="97"/>
      <c r="C73" s="97"/>
      <c r="D73" s="97"/>
      <c r="E73" s="97"/>
      <c r="F73" s="97"/>
      <c r="G73" s="97"/>
      <c r="H73" s="97"/>
      <c r="I73" s="97"/>
      <c r="J73" s="97"/>
      <c r="K73" s="311">
        <f>K71+1</f>
        <v>2034</v>
      </c>
      <c r="L73" s="312">
        <f ca="1">N11</f>
        <v>158800</v>
      </c>
      <c r="M73" s="314">
        <f ca="1">N16</f>
        <v>559879.20000000007</v>
      </c>
      <c r="N73" s="311">
        <f>N71+1</f>
        <v>2044</v>
      </c>
      <c r="O73" s="312">
        <f ca="1">I32</f>
        <v>213500</v>
      </c>
      <c r="P73" s="314">
        <f ca="1">I37</f>
        <v>806460.20000000007</v>
      </c>
      <c r="Q73" s="311">
        <f>Q71+1</f>
        <v>2054</v>
      </c>
      <c r="R73" s="312">
        <f ca="1">S32</f>
        <v>286900</v>
      </c>
      <c r="S73" s="314">
        <f ca="1">S37</f>
        <v>696628.72000000067</v>
      </c>
      <c r="T73" s="97"/>
    </row>
    <row r="74" spans="1:20" x14ac:dyDescent="0.25">
      <c r="A74" s="97"/>
      <c r="B74" s="97"/>
      <c r="C74" s="97"/>
      <c r="D74" s="97"/>
      <c r="E74" s="97"/>
      <c r="F74" s="97"/>
      <c r="G74" s="97"/>
      <c r="H74" s="97"/>
      <c r="I74" s="97"/>
      <c r="J74" s="97"/>
      <c r="K74" s="311"/>
      <c r="L74" s="313"/>
      <c r="M74" s="315"/>
      <c r="N74" s="311"/>
      <c r="O74" s="313"/>
      <c r="P74" s="315"/>
      <c r="Q74" s="311"/>
      <c r="R74" s="313"/>
      <c r="S74" s="315"/>
      <c r="T74" s="97"/>
    </row>
    <row r="75" spans="1:20" x14ac:dyDescent="0.25">
      <c r="A75" s="97"/>
      <c r="B75" s="97"/>
      <c r="C75" s="97"/>
      <c r="D75" s="97"/>
      <c r="E75" s="97"/>
      <c r="F75" s="97"/>
      <c r="G75" s="97"/>
      <c r="H75" s="97"/>
      <c r="I75" s="97"/>
      <c r="J75" s="97"/>
      <c r="K75" s="311">
        <f>K73+1</f>
        <v>2035</v>
      </c>
      <c r="L75" s="312">
        <f ca="1">O11</f>
        <v>163600</v>
      </c>
      <c r="M75" s="314">
        <f ca="1">O16</f>
        <v>719272.8</v>
      </c>
      <c r="N75" s="311">
        <f>N73+1</f>
        <v>2045</v>
      </c>
      <c r="O75" s="312">
        <f ca="1">J32</f>
        <v>219900</v>
      </c>
      <c r="P75" s="314">
        <f ca="1">J37</f>
        <v>1058434.2000000002</v>
      </c>
      <c r="Q75" s="311">
        <f>Q73+1</f>
        <v>2055</v>
      </c>
      <c r="R75" s="312">
        <f ca="1">T32</f>
        <v>295500</v>
      </c>
      <c r="S75" s="314">
        <f ca="1">T37</f>
        <v>872510.02000000072</v>
      </c>
      <c r="T75" s="97"/>
    </row>
    <row r="76" spans="1:20" ht="15.75" thickBot="1" x14ac:dyDescent="0.3">
      <c r="A76" s="97"/>
      <c r="B76" s="97"/>
      <c r="C76" s="97"/>
      <c r="D76" s="97"/>
      <c r="E76" s="97"/>
      <c r="F76" s="97"/>
      <c r="G76" s="97"/>
      <c r="H76" s="97"/>
      <c r="I76" s="97"/>
      <c r="J76" s="97"/>
      <c r="K76" s="316"/>
      <c r="L76" s="317"/>
      <c r="M76" s="318"/>
      <c r="N76" s="316"/>
      <c r="O76" s="317"/>
      <c r="P76" s="318"/>
      <c r="Q76" s="316"/>
      <c r="R76" s="317"/>
      <c r="S76" s="318"/>
      <c r="T76" s="97"/>
    </row>
    <row r="77" spans="1:20" ht="15.75" thickTop="1" x14ac:dyDescent="0.25">
      <c r="A77" s="97"/>
      <c r="B77" s="97"/>
      <c r="C77" s="97"/>
      <c r="D77" s="97"/>
      <c r="E77" s="97"/>
      <c r="F77" s="97"/>
      <c r="G77" s="97"/>
      <c r="H77" s="97"/>
      <c r="I77" s="97"/>
      <c r="J77" s="97"/>
      <c r="K77" s="97"/>
      <c r="L77" s="97"/>
      <c r="M77" s="97"/>
      <c r="N77" s="97"/>
      <c r="O77" s="97"/>
      <c r="P77" s="97"/>
      <c r="Q77" s="97"/>
      <c r="R77" s="97"/>
      <c r="S77" s="97"/>
      <c r="T77" s="97"/>
    </row>
    <row r="78" spans="1:20" x14ac:dyDescent="0.25">
      <c r="A78" s="97"/>
      <c r="B78" s="97"/>
      <c r="C78" s="97"/>
      <c r="D78" s="97"/>
      <c r="E78" s="97"/>
      <c r="F78" s="97"/>
      <c r="G78" s="97"/>
      <c r="H78" s="97"/>
      <c r="I78" s="97"/>
      <c r="J78" s="97"/>
      <c r="K78" s="97"/>
      <c r="L78" s="97"/>
      <c r="M78" s="97"/>
      <c r="N78" s="97"/>
      <c r="O78" s="97"/>
      <c r="P78" s="97"/>
      <c r="Q78" s="97"/>
      <c r="R78" s="97"/>
      <c r="S78" s="97"/>
      <c r="T78" s="97"/>
    </row>
    <row r="79" spans="1:20" x14ac:dyDescent="0.25">
      <c r="A79" s="97"/>
      <c r="B79" s="97"/>
      <c r="C79" s="97"/>
      <c r="D79" s="97"/>
      <c r="E79" s="97"/>
      <c r="F79" s="97"/>
      <c r="G79" s="97"/>
      <c r="H79" s="97"/>
      <c r="I79" s="97"/>
      <c r="J79" s="97"/>
      <c r="K79" s="97"/>
      <c r="L79" s="97"/>
      <c r="M79" s="97"/>
      <c r="N79" s="97"/>
      <c r="O79" s="97"/>
      <c r="P79" s="97"/>
      <c r="Q79" s="97"/>
      <c r="R79" s="97"/>
      <c r="S79" s="97"/>
      <c r="T79" s="97"/>
    </row>
    <row r="80" spans="1:20" x14ac:dyDescent="0.25">
      <c r="B80" s="97"/>
      <c r="C80" s="97"/>
      <c r="D80" s="97"/>
      <c r="E80" s="97"/>
      <c r="F80" s="97"/>
      <c r="G80" s="97"/>
      <c r="H80" s="97"/>
      <c r="I80" s="97"/>
      <c r="J80" s="97"/>
      <c r="K80" s="97"/>
      <c r="L80" s="97"/>
      <c r="M80" s="97"/>
      <c r="N80" s="97"/>
      <c r="O80" s="97"/>
      <c r="P80" s="97"/>
      <c r="Q80" s="97"/>
      <c r="R80" s="97"/>
      <c r="S80" s="97"/>
      <c r="T80" s="97"/>
    </row>
    <row r="992" spans="3:34" x14ac:dyDescent="0.25">
      <c r="C992" t="s">
        <v>131</v>
      </c>
      <c r="D992" s="38">
        <f>Y52</f>
        <v>2025</v>
      </c>
      <c r="E992">
        <f>D992+1</f>
        <v>2026</v>
      </c>
      <c r="F992">
        <f t="shared" ref="F992:AH992" si="14">E992+1</f>
        <v>2027</v>
      </c>
      <c r="G992">
        <f t="shared" si="14"/>
        <v>2028</v>
      </c>
      <c r="H992">
        <f t="shared" si="14"/>
        <v>2029</v>
      </c>
      <c r="I992">
        <f t="shared" si="14"/>
        <v>2030</v>
      </c>
      <c r="J992">
        <f t="shared" si="14"/>
        <v>2031</v>
      </c>
      <c r="K992">
        <f t="shared" si="14"/>
        <v>2032</v>
      </c>
      <c r="L992">
        <f t="shared" si="14"/>
        <v>2033</v>
      </c>
      <c r="M992">
        <f t="shared" si="14"/>
        <v>2034</v>
      </c>
      <c r="N992">
        <f t="shared" si="14"/>
        <v>2035</v>
      </c>
      <c r="O992">
        <f t="shared" si="14"/>
        <v>2036</v>
      </c>
      <c r="P992">
        <f t="shared" si="14"/>
        <v>2037</v>
      </c>
      <c r="Q992">
        <f t="shared" si="14"/>
        <v>2038</v>
      </c>
      <c r="R992">
        <f t="shared" si="14"/>
        <v>2039</v>
      </c>
      <c r="S992">
        <f t="shared" si="14"/>
        <v>2040</v>
      </c>
      <c r="T992">
        <f t="shared" si="14"/>
        <v>2041</v>
      </c>
      <c r="U992">
        <f t="shared" si="14"/>
        <v>2042</v>
      </c>
      <c r="V992">
        <f t="shared" si="14"/>
        <v>2043</v>
      </c>
      <c r="W992">
        <f t="shared" si="14"/>
        <v>2044</v>
      </c>
      <c r="X992">
        <f t="shared" si="14"/>
        <v>2045</v>
      </c>
      <c r="Y992">
        <f t="shared" si="14"/>
        <v>2046</v>
      </c>
      <c r="Z992">
        <f t="shared" si="14"/>
        <v>2047</v>
      </c>
      <c r="AA992">
        <f t="shared" si="14"/>
        <v>2048</v>
      </c>
      <c r="AB992">
        <f t="shared" si="14"/>
        <v>2049</v>
      </c>
      <c r="AC992">
        <f t="shared" si="14"/>
        <v>2050</v>
      </c>
      <c r="AD992">
        <f t="shared" si="14"/>
        <v>2051</v>
      </c>
      <c r="AE992">
        <f t="shared" si="14"/>
        <v>2052</v>
      </c>
      <c r="AF992">
        <f t="shared" si="14"/>
        <v>2053</v>
      </c>
      <c r="AG992">
        <f t="shared" si="14"/>
        <v>2054</v>
      </c>
      <c r="AH992">
        <f t="shared" si="14"/>
        <v>2055</v>
      </c>
    </row>
    <row r="993" spans="3:35" x14ac:dyDescent="0.25">
      <c r="C993" t="s">
        <v>132</v>
      </c>
      <c r="D993" s="95">
        <f>E8</f>
        <v>204655</v>
      </c>
      <c r="E993" s="95">
        <f t="shared" ref="E993:S993" ca="1" si="15">F8</f>
        <v>224000</v>
      </c>
      <c r="F993" s="95">
        <f t="shared" ca="1" si="15"/>
        <v>224000</v>
      </c>
      <c r="G993" s="95">
        <f t="shared" ca="1" si="15"/>
        <v>224000</v>
      </c>
      <c r="H993" s="95">
        <f t="shared" ca="1" si="15"/>
        <v>137000</v>
      </c>
      <c r="I993" s="95">
        <f t="shared" ca="1" si="15"/>
        <v>141100</v>
      </c>
      <c r="J993" s="95">
        <f t="shared" ca="1" si="15"/>
        <v>145300</v>
      </c>
      <c r="K993" s="95">
        <f t="shared" ca="1" si="15"/>
        <v>149700</v>
      </c>
      <c r="L993" s="95">
        <f t="shared" ca="1" si="15"/>
        <v>154200</v>
      </c>
      <c r="M993" s="95">
        <f t="shared" ca="1" si="15"/>
        <v>158800</v>
      </c>
      <c r="N993" s="95">
        <f t="shared" ca="1" si="15"/>
        <v>163600</v>
      </c>
      <c r="O993" s="95">
        <f t="shared" ca="1" si="15"/>
        <v>168500</v>
      </c>
      <c r="P993" s="95">
        <f t="shared" ca="1" si="15"/>
        <v>173600</v>
      </c>
      <c r="Q993" s="95">
        <f t="shared" ca="1" si="15"/>
        <v>178800</v>
      </c>
      <c r="R993" s="95">
        <f t="shared" ca="1" si="15"/>
        <v>184200</v>
      </c>
      <c r="S993" s="95">
        <f t="shared" ca="1" si="15"/>
        <v>189700</v>
      </c>
      <c r="T993" s="95">
        <f ca="1">F29</f>
        <v>195400</v>
      </c>
      <c r="U993" s="95">
        <f t="shared" ref="U993:AH995" ca="1" si="16">G29</f>
        <v>201300</v>
      </c>
      <c r="V993" s="95">
        <f t="shared" ca="1" si="16"/>
        <v>207300</v>
      </c>
      <c r="W993" s="95">
        <f t="shared" ca="1" si="16"/>
        <v>213500</v>
      </c>
      <c r="X993" s="95">
        <f t="shared" ca="1" si="16"/>
        <v>219900</v>
      </c>
      <c r="Y993" s="95">
        <f t="shared" ca="1" si="16"/>
        <v>226500</v>
      </c>
      <c r="Z993" s="95">
        <f t="shared" ca="1" si="16"/>
        <v>233300</v>
      </c>
      <c r="AA993" s="95">
        <f t="shared" ca="1" si="16"/>
        <v>240300</v>
      </c>
      <c r="AB993" s="95">
        <f t="shared" ca="1" si="16"/>
        <v>247500</v>
      </c>
      <c r="AC993" s="95">
        <f t="shared" ca="1" si="16"/>
        <v>254900</v>
      </c>
      <c r="AD993" s="95">
        <f t="shared" ca="1" si="16"/>
        <v>262500</v>
      </c>
      <c r="AE993" s="95">
        <f t="shared" ca="1" si="16"/>
        <v>270400</v>
      </c>
      <c r="AF993" s="95">
        <f t="shared" ca="1" si="16"/>
        <v>278500</v>
      </c>
      <c r="AG993" s="95">
        <f t="shared" ca="1" si="16"/>
        <v>286900</v>
      </c>
      <c r="AH993" s="95">
        <f t="shared" ca="1" si="16"/>
        <v>295500</v>
      </c>
    </row>
    <row r="994" spans="3:35" x14ac:dyDescent="0.25">
      <c r="C994" t="s">
        <v>142</v>
      </c>
      <c r="D994" s="95" t="str">
        <f t="shared" ref="D994:S995" si="17">E9</f>
        <v/>
      </c>
      <c r="E994" s="95" t="str">
        <f t="shared" si="17"/>
        <v/>
      </c>
      <c r="F994" s="95" t="str">
        <f t="shared" si="17"/>
        <v/>
      </c>
      <c r="G994" s="95" t="str">
        <f t="shared" si="17"/>
        <v/>
      </c>
      <c r="H994" s="95" t="str">
        <f t="shared" si="17"/>
        <v/>
      </c>
      <c r="I994" s="95" t="str">
        <f t="shared" si="17"/>
        <v/>
      </c>
      <c r="J994" s="95" t="str">
        <f t="shared" si="17"/>
        <v/>
      </c>
      <c r="K994" s="95" t="str">
        <f>L9</f>
        <v/>
      </c>
      <c r="L994" s="95" t="str">
        <f t="shared" si="17"/>
        <v/>
      </c>
      <c r="M994" s="95" t="str">
        <f t="shared" si="17"/>
        <v/>
      </c>
      <c r="N994" s="95" t="str">
        <f t="shared" si="17"/>
        <v/>
      </c>
      <c r="O994" s="95" t="str">
        <f t="shared" si="17"/>
        <v/>
      </c>
      <c r="P994" s="95" t="str">
        <f t="shared" si="17"/>
        <v/>
      </c>
      <c r="Q994" s="95" t="str">
        <f t="shared" si="17"/>
        <v/>
      </c>
      <c r="R994" s="95" t="str">
        <f t="shared" si="17"/>
        <v/>
      </c>
      <c r="S994" s="95" t="str">
        <f t="shared" si="17"/>
        <v/>
      </c>
      <c r="T994" s="95" t="str">
        <f t="shared" ref="T994:T995" si="18">F30</f>
        <v/>
      </c>
      <c r="U994" s="95" t="str">
        <f t="shared" si="16"/>
        <v/>
      </c>
      <c r="V994" s="95" t="str">
        <f t="shared" si="16"/>
        <v/>
      </c>
      <c r="W994" s="95" t="str">
        <f t="shared" si="16"/>
        <v/>
      </c>
      <c r="X994" s="95" t="str">
        <f t="shared" si="16"/>
        <v/>
      </c>
      <c r="Y994" s="95" t="str">
        <f t="shared" si="16"/>
        <v/>
      </c>
      <c r="Z994" s="95" t="str">
        <f t="shared" si="16"/>
        <v/>
      </c>
      <c r="AA994" s="95" t="str">
        <f t="shared" si="16"/>
        <v/>
      </c>
      <c r="AB994" s="95" t="str">
        <f t="shared" si="16"/>
        <v/>
      </c>
      <c r="AC994" s="95" t="str">
        <f t="shared" si="16"/>
        <v/>
      </c>
      <c r="AD994" s="95" t="str">
        <f t="shared" si="16"/>
        <v/>
      </c>
      <c r="AE994" s="95" t="str">
        <f t="shared" si="16"/>
        <v/>
      </c>
      <c r="AF994" s="95" t="str">
        <f t="shared" si="16"/>
        <v/>
      </c>
      <c r="AG994" s="95" t="str">
        <f t="shared" si="16"/>
        <v/>
      </c>
      <c r="AH994" s="95" t="str">
        <f t="shared" si="16"/>
        <v/>
      </c>
    </row>
    <row r="995" spans="3:35" x14ac:dyDescent="0.25">
      <c r="C995" t="s">
        <v>107</v>
      </c>
      <c r="D995" s="95" t="str">
        <f t="shared" si="17"/>
        <v/>
      </c>
      <c r="E995" s="95" t="str">
        <f t="shared" si="17"/>
        <v/>
      </c>
      <c r="F995" s="95" t="str">
        <f t="shared" si="17"/>
        <v/>
      </c>
      <c r="G995" s="95" t="str">
        <f t="shared" si="17"/>
        <v/>
      </c>
      <c r="H995" s="95" t="str">
        <f t="shared" si="17"/>
        <v/>
      </c>
      <c r="I995" s="95" t="str">
        <f t="shared" si="17"/>
        <v/>
      </c>
      <c r="J995" s="95" t="str">
        <f t="shared" si="17"/>
        <v/>
      </c>
      <c r="K995" s="95" t="str">
        <f t="shared" si="17"/>
        <v/>
      </c>
      <c r="L995" s="95" t="str">
        <f t="shared" si="17"/>
        <v/>
      </c>
      <c r="M995" s="95" t="str">
        <f t="shared" si="17"/>
        <v/>
      </c>
      <c r="N995" s="95" t="str">
        <f t="shared" si="17"/>
        <v/>
      </c>
      <c r="O995" s="95" t="str">
        <f t="shared" si="17"/>
        <v/>
      </c>
      <c r="P995" s="95" t="str">
        <f t="shared" si="17"/>
        <v/>
      </c>
      <c r="Q995" s="95" t="str">
        <f t="shared" si="17"/>
        <v/>
      </c>
      <c r="R995" s="95" t="str">
        <f t="shared" si="17"/>
        <v/>
      </c>
      <c r="S995" s="95" t="str">
        <f t="shared" si="17"/>
        <v/>
      </c>
      <c r="T995" s="95" t="str">
        <f t="shared" si="18"/>
        <v/>
      </c>
      <c r="U995" s="95" t="str">
        <f t="shared" si="16"/>
        <v/>
      </c>
      <c r="V995" s="95" t="str">
        <f t="shared" si="16"/>
        <v/>
      </c>
      <c r="W995" s="95" t="str">
        <f t="shared" si="16"/>
        <v/>
      </c>
      <c r="X995" s="95" t="str">
        <f t="shared" si="16"/>
        <v/>
      </c>
      <c r="Y995" s="95" t="str">
        <f t="shared" si="16"/>
        <v/>
      </c>
      <c r="Z995" s="95" t="str">
        <f t="shared" si="16"/>
        <v/>
      </c>
      <c r="AA995" s="95" t="str">
        <f t="shared" si="16"/>
        <v/>
      </c>
      <c r="AB995" s="95" t="str">
        <f t="shared" si="16"/>
        <v/>
      </c>
      <c r="AC995" s="95" t="str">
        <f t="shared" si="16"/>
        <v/>
      </c>
      <c r="AD995" s="95" t="str">
        <f t="shared" si="16"/>
        <v/>
      </c>
      <c r="AE995" s="95" t="str">
        <f t="shared" si="16"/>
        <v/>
      </c>
      <c r="AF995" s="95" t="str">
        <f t="shared" si="16"/>
        <v/>
      </c>
      <c r="AG995" s="95" t="str">
        <f t="shared" si="16"/>
        <v/>
      </c>
      <c r="AH995" s="95" t="str">
        <f t="shared" si="16"/>
        <v/>
      </c>
    </row>
    <row r="996" spans="3:35" x14ac:dyDescent="0.25">
      <c r="C996" t="s">
        <v>143</v>
      </c>
      <c r="D996" s="96">
        <f ca="1">E16</f>
        <v>492515.36</v>
      </c>
      <c r="E996" s="96">
        <f t="shared" ref="E996:S996" ca="1" si="19">F16</f>
        <v>729414.96</v>
      </c>
      <c r="F996" s="96">
        <f t="shared" ca="1" si="19"/>
        <v>427452.46000000008</v>
      </c>
      <c r="G996" s="96">
        <f t="shared" ca="1" si="19"/>
        <v>155629.81000000011</v>
      </c>
      <c r="H996" s="96">
        <f t="shared" ca="1" si="19"/>
        <v>280662.51000000013</v>
      </c>
      <c r="I996" s="96">
        <f t="shared" ca="1" si="19"/>
        <v>162047.93000000011</v>
      </c>
      <c r="J996" s="96">
        <f t="shared" ca="1" si="19"/>
        <v>192706.3300000001</v>
      </c>
      <c r="K996" s="96">
        <f t="shared" ca="1" si="19"/>
        <v>312839.93000000005</v>
      </c>
      <c r="L996" s="96">
        <f t="shared" ca="1" si="19"/>
        <v>480687.93000000005</v>
      </c>
      <c r="M996" s="96">
        <f t="shared" ca="1" si="19"/>
        <v>559879.20000000007</v>
      </c>
      <c r="N996" s="96">
        <f t="shared" ca="1" si="19"/>
        <v>719272.8</v>
      </c>
      <c r="O996" s="96">
        <f t="shared" ca="1" si="19"/>
        <v>532126.70000000007</v>
      </c>
      <c r="P996" s="96">
        <f t="shared" ca="1" si="19"/>
        <v>332106.50000000006</v>
      </c>
      <c r="Q996" s="96">
        <f t="shared" ca="1" si="19"/>
        <v>503350.3</v>
      </c>
      <c r="R996" s="96">
        <f t="shared" ca="1" si="19"/>
        <v>482034.20000000007</v>
      </c>
      <c r="S996" s="96">
        <f t="shared" ca="1" si="19"/>
        <v>691925.20000000007</v>
      </c>
      <c r="T996" s="96">
        <f ca="1">F37</f>
        <v>506928.10000000003</v>
      </c>
      <c r="U996" s="96">
        <f t="shared" ref="U996:AH996" ca="1" si="20">G37</f>
        <v>346251.20000000007</v>
      </c>
      <c r="V996" s="96">
        <f t="shared" ca="1" si="20"/>
        <v>569298.20000000007</v>
      </c>
      <c r="W996" s="96">
        <f t="shared" ca="1" si="20"/>
        <v>806460.20000000007</v>
      </c>
      <c r="X996" s="96">
        <f t="shared" ca="1" si="20"/>
        <v>1058434.2000000002</v>
      </c>
      <c r="Y996" s="96">
        <f t="shared" ca="1" si="20"/>
        <v>1270000.2000000002</v>
      </c>
      <c r="Z996" s="96">
        <f t="shared" ca="1" si="20"/>
        <v>1513620.6</v>
      </c>
      <c r="AA996" s="96">
        <f t="shared" ca="1" si="20"/>
        <v>1811102.6</v>
      </c>
      <c r="AB996" s="96">
        <f t="shared" ca="1" si="20"/>
        <v>2110188.8000000003</v>
      </c>
      <c r="AC996" s="96">
        <f t="shared" ca="1" si="20"/>
        <v>890703.16000000061</v>
      </c>
      <c r="AD996" s="96">
        <f t="shared" ca="1" si="20"/>
        <v>237673.96000000066</v>
      </c>
      <c r="AE996" s="96">
        <f t="shared" ca="1" si="20"/>
        <v>423937.56000000064</v>
      </c>
      <c r="AF996" s="96">
        <f t="shared" ca="1" si="20"/>
        <v>602492.06000000064</v>
      </c>
      <c r="AG996" s="96">
        <f t="shared" ca="1" si="20"/>
        <v>696628.72000000067</v>
      </c>
      <c r="AH996" s="96">
        <f t="shared" ca="1" si="20"/>
        <v>872510.02000000072</v>
      </c>
    </row>
    <row r="1000" spans="3:35" x14ac:dyDescent="0.25">
      <c r="C1000" t="s">
        <v>144</v>
      </c>
      <c r="D1000" t="s">
        <v>145</v>
      </c>
      <c r="E1000" t="s">
        <v>146</v>
      </c>
      <c r="F1000" t="s">
        <v>147</v>
      </c>
      <c r="G1000" t="s">
        <v>148</v>
      </c>
      <c r="H1000" t="s">
        <v>149</v>
      </c>
      <c r="I1000" t="s">
        <v>150</v>
      </c>
      <c r="J1000" t="s">
        <v>151</v>
      </c>
      <c r="K1000" t="s">
        <v>152</v>
      </c>
      <c r="L1000" t="s">
        <v>153</v>
      </c>
      <c r="M1000" t="s">
        <v>154</v>
      </c>
      <c r="N1000" t="s">
        <v>155</v>
      </c>
      <c r="O1000" t="s">
        <v>156</v>
      </c>
      <c r="P1000" t="s">
        <v>157</v>
      </c>
      <c r="Q1000" t="s">
        <v>158</v>
      </c>
      <c r="R1000" t="s">
        <v>159</v>
      </c>
      <c r="S1000" t="s">
        <v>160</v>
      </c>
      <c r="T1000" t="s">
        <v>161</v>
      </c>
      <c r="U1000" t="s">
        <v>162</v>
      </c>
      <c r="V1000" t="s">
        <v>163</v>
      </c>
      <c r="W1000" t="s">
        <v>164</v>
      </c>
      <c r="X1000" t="s">
        <v>165</v>
      </c>
      <c r="Y1000" t="s">
        <v>166</v>
      </c>
      <c r="Z1000" t="s">
        <v>167</v>
      </c>
      <c r="AA1000" t="s">
        <v>168</v>
      </c>
      <c r="AB1000" t="s">
        <v>169</v>
      </c>
      <c r="AC1000" t="s">
        <v>170</v>
      </c>
      <c r="AD1000" t="s">
        <v>171</v>
      </c>
      <c r="AE1000" t="s">
        <v>172</v>
      </c>
      <c r="AF1000" t="s">
        <v>173</v>
      </c>
      <c r="AG1000" t="s">
        <v>174</v>
      </c>
      <c r="AH1000" t="s">
        <v>175</v>
      </c>
    </row>
    <row r="1001" spans="3:35" x14ac:dyDescent="0.25">
      <c r="C1001" t="s">
        <v>98</v>
      </c>
      <c r="D1001">
        <f ca="1">-IF($C1001="",0,INDIRECT("'"&amp; $C1001 &amp; "'!" &amp; "expenditures" &amp; ExpenseTable303[[#Headers],[0]]))</f>
        <v>0</v>
      </c>
      <c r="E1001">
        <f ca="1">-IF($C1001="",0,INDIRECT("'"&amp; $C1001 &amp; "'!" &amp; "expenditures" &amp; ExpenseTable303[[#Headers],[1]]))</f>
        <v>-8116.4</v>
      </c>
      <c r="F1001">
        <f ca="1">-IF($C1001="",0,INDIRECT("'"&amp; $C1001 &amp; "'!" &amp; "expenditures" &amp; ExpenseTable303[[#Headers],[2]]))</f>
        <v>-545859.49999999988</v>
      </c>
      <c r="G1001">
        <f ca="1">-IF($C1001="",0,INDIRECT("'"&amp; $C1001 &amp; "'!" &amp; "expenditures" &amp; ExpenseTable303[[#Headers],[3]]))</f>
        <v>-505850.64999999997</v>
      </c>
      <c r="H1001">
        <f ca="1">-IF($C1001="",0,INDIRECT("'"&amp; $C1001 &amp; "'!" &amp; "expenditures" &amp; ExpenseTable303[[#Headers],[4]]))</f>
        <v>-19471.3</v>
      </c>
      <c r="I1001">
        <f ca="1">-IF($C1001="",0,INDIRECT("'"&amp; $C1001 &amp; "'!" &amp; "expenditures" &amp; ExpenseTable303[[#Headers],[5]]))</f>
        <v>-267328.58</v>
      </c>
      <c r="J1001">
        <f ca="1">-IF($C1001="",0,INDIRECT("'"&amp; $C1001 &amp; "'!" &amp; "expenditures" &amp; ExpenseTable303[[#Headers],[6]]))</f>
        <v>-120742.6</v>
      </c>
      <c r="K1001">
        <f ca="1">-IF($C1001="",0,INDIRECT("'"&amp; $C1001 &amp; "'!" &amp; "expenditures" &amp; ExpenseTable303[[#Headers],[7]]))</f>
        <v>-38261.4</v>
      </c>
      <c r="L1001">
        <f ca="1">-IF($C1001="",0,INDIRECT("'"&amp; $C1001 &amp; "'!" &amp; "expenditures" &amp; ExpenseTable303[[#Headers],[8]]))</f>
        <v>0</v>
      </c>
      <c r="M1001">
        <f ca="1">-IF($C1001="",0,INDIRECT("'"&amp; $C1001 &amp; "'!" &amp; "expenditures" &amp; ExpenseTable303[[#Headers],[9]]))</f>
        <v>-97505.73000000001</v>
      </c>
      <c r="N1001">
        <f ca="1">-IF($C1001="",0,INDIRECT("'"&amp; $C1001 &amp; "'!" &amp; "expenditures" &amp; ExpenseTable303[[#Headers],[10]]))</f>
        <v>-26206.400000000001</v>
      </c>
      <c r="O1001">
        <f ca="1">-IF($C1001="",0,INDIRECT("'"&amp; $C1001 &amp; "'!" &amp; "expenditures" &amp; ExpenseTable303[[#Headers],[11]]))</f>
        <v>-377169.1</v>
      </c>
      <c r="P1001">
        <f ca="1">-IF($C1001="",0,INDIRECT("'"&amp; $C1001 &amp; "'!" &amp; "expenditures" &amp; ExpenseTable303[[#Headers],[12]]))</f>
        <v>-388484.2</v>
      </c>
      <c r="Q1001">
        <f ca="1">-IF($C1001="",0,INDIRECT("'"&amp; $C1001 &amp; "'!" &amp; "expenditures" &amp; ExpenseTable303[[#Headers],[13]]))</f>
        <v>-21925.200000000001</v>
      </c>
      <c r="R1001">
        <f ca="1">-IF($C1001="",0,INDIRECT("'"&amp; $C1001 &amp; "'!" &amp; "expenditures" &amp; ExpenseTable303[[#Headers],[14]]))</f>
        <v>-222464.1</v>
      </c>
      <c r="S1001">
        <f ca="1">-IF($C1001="",0,INDIRECT("'"&amp; $C1001 &amp; "'!" &amp; "expenditures" &amp; ExpenseTable303[[#Headers],[15]]))</f>
        <v>0</v>
      </c>
      <c r="T1001">
        <f ca="1">-IF($C1001="",0,INDIRECT("'"&amp; $C1001 &amp; "'!" &amp; "expenditures" &amp; ExpenseTable303[[#Headers],[16]]))</f>
        <v>-401016.10000000003</v>
      </c>
      <c r="U1001">
        <f ca="1">-IF($C1001="",0,INDIRECT("'"&amp; $C1001 &amp; "'!" &amp; "expenditures" &amp; ExpenseTable303[[#Headers],[17]]))</f>
        <v>-376650.9</v>
      </c>
      <c r="V1001">
        <f ca="1">-IF($C1001="",0,INDIRECT("'"&amp; $C1001 &amp; "'!" &amp; "expenditures" &amp; ExpenseTable303[[#Headers],[18]]))</f>
        <v>0</v>
      </c>
      <c r="W1001">
        <f ca="1">-IF($C1001="",0,INDIRECT("'"&amp; $C1001 &amp; "'!" &amp; "expenditures" &amp; ExpenseTable303[[#Headers],[19]]))</f>
        <v>0</v>
      </c>
      <c r="X1001">
        <f ca="1">-IF($C1001="",0,INDIRECT("'"&amp; $C1001 &amp; "'!" &amp; "expenditures" &amp; ExpenseTable303[[#Headers],[20]]))</f>
        <v>0</v>
      </c>
      <c r="Y1001">
        <f ca="1">-IF($C1001="",0,INDIRECT("'"&amp; $C1001 &amp; "'!" &amp; "expenditures" &amp; ExpenseTable303[[#Headers],[21]]))</f>
        <v>-54981</v>
      </c>
      <c r="Z1001">
        <f ca="1">-IF($C1001="",0,INDIRECT("'"&amp; $C1001 &amp; "'!" &amp; "expenditures" &amp; ExpenseTable303[[#Headers],[22]]))</f>
        <v>-37555.599999999999</v>
      </c>
      <c r="AA1001">
        <f ca="1">-IF($C1001="",0,INDIRECT("'"&amp; $C1001 &amp; "'!" &amp; "expenditures" &amp; ExpenseTable303[[#Headers],[23]]))</f>
        <v>0</v>
      </c>
      <c r="AB1001">
        <f ca="1">-IF($C1001="",0,INDIRECT("'"&amp; $C1001 &amp; "'!" &amp; "expenditures" &amp; ExpenseTable303[[#Headers],[24]]))</f>
        <v>-15855.8</v>
      </c>
      <c r="AC1001">
        <f ca="1">-IF($C1001="",0,INDIRECT("'"&amp; $C1001 &amp; "'!" &amp; "expenditures" &amp; ExpenseTable303[[#Headers],[25]]))</f>
        <v>-1525997.6399999997</v>
      </c>
      <c r="AD1001">
        <f ca="1">-IF($C1001="",0,INDIRECT("'"&amp; $C1001 &amp; "'!" &amp; "expenditures" &amp; ExpenseTable303[[#Headers],[26]]))</f>
        <v>-934936.2</v>
      </c>
      <c r="AE1001">
        <f ca="1">-IF($C1001="",0,INDIRECT("'"&amp; $C1001 &amp; "'!" &amp; "expenditures" &amp; ExpenseTable303[[#Headers],[27]]))</f>
        <v>-95515.4</v>
      </c>
      <c r="AF1001">
        <f ca="1">-IF($C1001="",0,INDIRECT("'"&amp; $C1001 &amp; "'!" &amp; "expenditures" &amp; ExpenseTable303[[#Headers],[28]]))</f>
        <v>-117599.5</v>
      </c>
      <c r="AG1001">
        <f ca="1">-IF($C1001="",0,INDIRECT("'"&amp; $C1001 &amp; "'!" &amp; "expenditures" &amp; ExpenseTable303[[#Headers],[29]]))</f>
        <v>-215107.34</v>
      </c>
      <c r="AH1001">
        <f ca="1">-IF($C1001="",0,INDIRECT("'"&amp; $C1001 &amp; "'!" &amp; "expenditures" &amp; ExpenseTable303[[#Headers],[30]]))</f>
        <v>-146606.70000000001</v>
      </c>
    </row>
    <row r="1002" spans="3:35" x14ac:dyDescent="0.25">
      <c r="D1002">
        <f ca="1">-IF($C1002="",0,INDIRECT("'"&amp; $C1002 &amp; "'!" &amp; "expenditures" &amp; ExpenseTable303[[#Headers],[0]]))</f>
        <v>0</v>
      </c>
      <c r="E1002">
        <f ca="1">-IF($C1002="",0,INDIRECT("'"&amp; $C1002 &amp; "'!" &amp; "expenditures" &amp; ExpenseTable303[[#Headers],[1]]))</f>
        <v>0</v>
      </c>
      <c r="F1002">
        <f ca="1">-IF($C1002="",0,INDIRECT("'"&amp; $C1002 &amp; "'!" &amp; "expenditures" &amp; ExpenseTable303[[#Headers],[2]]))</f>
        <v>0</v>
      </c>
      <c r="G1002">
        <f ca="1">-IF($C1002="",0,INDIRECT("'"&amp; $C1002 &amp; "'!" &amp; "expenditures" &amp; ExpenseTable303[[#Headers],[3]]))</f>
        <v>0</v>
      </c>
      <c r="H1002">
        <f ca="1">-IF($C1002="",0,INDIRECT("'"&amp; $C1002 &amp; "'!" &amp; "expenditures" &amp; ExpenseTable303[[#Headers],[4]]))</f>
        <v>0</v>
      </c>
      <c r="I1002">
        <f ca="1">-IF($C1002="",0,INDIRECT("'"&amp; $C1002 &amp; "'!" &amp; "expenditures" &amp; ExpenseTable303[[#Headers],[5]]))</f>
        <v>0</v>
      </c>
      <c r="J1002">
        <f ca="1">-IF($C1002="",0,INDIRECT("'"&amp; $C1002 &amp; "'!" &amp; "expenditures" &amp; ExpenseTable303[[#Headers],[6]]))</f>
        <v>0</v>
      </c>
      <c r="K1002">
        <f ca="1">-IF($C1002="",0,INDIRECT("'"&amp; $C1002 &amp; "'!" &amp; "expenditures" &amp; ExpenseTable303[[#Headers],[7]]))</f>
        <v>0</v>
      </c>
      <c r="L1002">
        <f ca="1">-IF($C1002="",0,INDIRECT("'"&amp; $C1002 &amp; "'!" &amp; "expenditures" &amp; ExpenseTable303[[#Headers],[8]]))</f>
        <v>0</v>
      </c>
      <c r="M1002">
        <f ca="1">-IF($C1002="",0,INDIRECT("'"&amp; $C1002 &amp; "'!" &amp; "expenditures" &amp; ExpenseTable303[[#Headers],[9]]))</f>
        <v>0</v>
      </c>
      <c r="N1002">
        <f ca="1">-IF($C1002="",0,INDIRECT("'"&amp; $C1002 &amp; "'!" &amp; "expenditures" &amp; ExpenseTable303[[#Headers],[10]]))</f>
        <v>0</v>
      </c>
      <c r="O1002">
        <f ca="1">-IF($C1002="",0,INDIRECT("'"&amp; $C1002 &amp; "'!" &amp; "expenditures" &amp; ExpenseTable303[[#Headers],[11]]))</f>
        <v>0</v>
      </c>
      <c r="P1002">
        <f ca="1">-IF($C1002="",0,INDIRECT("'"&amp; $C1002 &amp; "'!" &amp; "expenditures" &amp; ExpenseTable303[[#Headers],[12]]))</f>
        <v>0</v>
      </c>
      <c r="Q1002">
        <f ca="1">-IF($C1002="",0,INDIRECT("'"&amp; $C1002 &amp; "'!" &amp; "expenditures" &amp; ExpenseTable303[[#Headers],[13]]))</f>
        <v>0</v>
      </c>
      <c r="R1002">
        <f ca="1">-IF($C1002="",0,INDIRECT("'"&amp; $C1002 &amp; "'!" &amp; "expenditures" &amp; ExpenseTable303[[#Headers],[14]]))</f>
        <v>0</v>
      </c>
      <c r="S1002">
        <f ca="1">-IF($C1002="",0,INDIRECT("'"&amp; $C1002 &amp; "'!" &amp; "expenditures" &amp; ExpenseTable303[[#Headers],[15]]))</f>
        <v>0</v>
      </c>
      <c r="T1002">
        <f ca="1">-IF($C1002="",0,INDIRECT("'"&amp; $C1002 &amp; "'!" &amp; "expenditures" &amp; ExpenseTable303[[#Headers],[16]]))</f>
        <v>0</v>
      </c>
      <c r="U1002">
        <f ca="1">-IF($C1002="",0,INDIRECT("'"&amp; $C1002 &amp; "'!" &amp; "expenditures" &amp; ExpenseTable303[[#Headers],[17]]))</f>
        <v>0</v>
      </c>
      <c r="V1002">
        <f ca="1">-IF($C1002="",0,INDIRECT("'"&amp; $C1002 &amp; "'!" &amp; "expenditures" &amp; ExpenseTable303[[#Headers],[18]]))</f>
        <v>0</v>
      </c>
      <c r="W1002">
        <f ca="1">-IF($C1002="",0,INDIRECT("'"&amp; $C1002 &amp; "'!" &amp; "expenditures" &amp; ExpenseTable303[[#Headers],[19]]))</f>
        <v>0</v>
      </c>
      <c r="X1002">
        <f ca="1">-IF($C1002="",0,INDIRECT("'"&amp; $C1002 &amp; "'!" &amp; "expenditures" &amp; ExpenseTable303[[#Headers],[20]]))</f>
        <v>0</v>
      </c>
      <c r="Y1002">
        <f ca="1">-IF($C1002="",0,INDIRECT("'"&amp; $C1002 &amp; "'!" &amp; "expenditures" &amp; ExpenseTable303[[#Headers],[21]]))</f>
        <v>0</v>
      </c>
      <c r="Z1002">
        <f ca="1">-IF($C1002="",0,INDIRECT("'"&amp; $C1002 &amp; "'!" &amp; "expenditures" &amp; ExpenseTable303[[#Headers],[22]]))</f>
        <v>0</v>
      </c>
      <c r="AA1002">
        <f ca="1">-IF($C1002="",0,INDIRECT("'"&amp; $C1002 &amp; "'!" &amp; "expenditures" &amp; ExpenseTable303[[#Headers],[23]]))</f>
        <v>0</v>
      </c>
      <c r="AB1002">
        <f ca="1">-IF($C1002="",0,INDIRECT("'"&amp; $C1002 &amp; "'!" &amp; "expenditures" &amp; ExpenseTable303[[#Headers],[24]]))</f>
        <v>0</v>
      </c>
      <c r="AC1002">
        <f ca="1">-IF($C1002="",0,INDIRECT("'"&amp; $C1002 &amp; "'!" &amp; "expenditures" &amp; ExpenseTable303[[#Headers],[25]]))</f>
        <v>0</v>
      </c>
      <c r="AD1002">
        <f ca="1">-IF($C1002="",0,INDIRECT("'"&amp; $C1002 &amp; "'!" &amp; "expenditures" &amp; ExpenseTable303[[#Headers],[26]]))</f>
        <v>0</v>
      </c>
      <c r="AE1002">
        <f ca="1">-IF($C1002="",0,INDIRECT("'"&amp; $C1002 &amp; "'!" &amp; "expenditures" &amp; ExpenseTable303[[#Headers],[27]]))</f>
        <v>0</v>
      </c>
      <c r="AF1002">
        <f ca="1">-IF($C1002="",0,INDIRECT("'"&amp; $C1002 &amp; "'!" &amp; "expenditures" &amp; ExpenseTable303[[#Headers],[28]]))</f>
        <v>0</v>
      </c>
      <c r="AG1002">
        <f ca="1">-IF($C1002="",0,INDIRECT("'"&amp; $C1002 &amp; "'!" &amp; "expenditures" &amp; ExpenseTable303[[#Headers],[29]]))</f>
        <v>0</v>
      </c>
      <c r="AH1002">
        <f ca="1">-IF($C1002="",0,INDIRECT("'"&amp; $C1002 &amp; "'!" &amp; "expenditures" &amp; ExpenseTable303[[#Headers],[30]]))</f>
        <v>0</v>
      </c>
    </row>
    <row r="1003" spans="3:35" x14ac:dyDescent="0.25">
      <c r="C1003" t="s">
        <v>78</v>
      </c>
      <c r="D1003" s="73">
        <f ca="1">SUBTOTAL(109,ExpenseTable303[0])</f>
        <v>0</v>
      </c>
      <c r="E1003" s="73">
        <f ca="1">SUBTOTAL(109,ExpenseTable303[1])</f>
        <v>-8116.4</v>
      </c>
      <c r="F1003" s="73">
        <f ca="1">SUBTOTAL(109,ExpenseTable303[2])</f>
        <v>-545859.49999999988</v>
      </c>
      <c r="G1003" s="73">
        <f ca="1">SUBTOTAL(109,ExpenseTable303[3])</f>
        <v>-505850.64999999997</v>
      </c>
      <c r="H1003" s="73">
        <f ca="1">SUBTOTAL(109,ExpenseTable303[4])</f>
        <v>-19471.3</v>
      </c>
      <c r="I1003" s="73">
        <f ca="1">SUBTOTAL(109,ExpenseTable303[5])</f>
        <v>-267328.58</v>
      </c>
      <c r="J1003" s="73">
        <f ca="1">SUBTOTAL(109,ExpenseTable303[6])</f>
        <v>-120742.6</v>
      </c>
      <c r="K1003" s="73">
        <f ca="1">SUBTOTAL(109,ExpenseTable303[7])</f>
        <v>-38261.4</v>
      </c>
      <c r="L1003" s="73">
        <f ca="1">SUBTOTAL(109,ExpenseTable303[8])</f>
        <v>0</v>
      </c>
      <c r="M1003" s="73">
        <f ca="1">SUBTOTAL(109,ExpenseTable303[9])</f>
        <v>-97505.73000000001</v>
      </c>
      <c r="N1003" s="73">
        <f ca="1">SUBTOTAL(109,ExpenseTable303[10])</f>
        <v>-26206.400000000001</v>
      </c>
      <c r="O1003" s="73">
        <f ca="1">SUBTOTAL(109,ExpenseTable303[11])</f>
        <v>-377169.1</v>
      </c>
      <c r="P1003" s="73">
        <f ca="1">SUBTOTAL(109,ExpenseTable303[12])</f>
        <v>-388484.2</v>
      </c>
      <c r="Q1003" s="73">
        <f ca="1">SUBTOTAL(109,ExpenseTable303[13])</f>
        <v>-21925.200000000001</v>
      </c>
      <c r="R1003" s="73">
        <f ca="1">SUBTOTAL(109,ExpenseTable303[14])</f>
        <v>-222464.1</v>
      </c>
      <c r="S1003" s="73">
        <f ca="1">SUBTOTAL(109,ExpenseTable303[15])</f>
        <v>0</v>
      </c>
      <c r="T1003" s="73">
        <f ca="1">SUBTOTAL(109,ExpenseTable303[16])</f>
        <v>-401016.10000000003</v>
      </c>
      <c r="U1003" s="73">
        <f ca="1">SUBTOTAL(109,ExpenseTable303[17])</f>
        <v>-376650.9</v>
      </c>
      <c r="V1003" s="73">
        <f ca="1">SUBTOTAL(109,ExpenseTable303[18])</f>
        <v>0</v>
      </c>
      <c r="W1003" s="73">
        <f ca="1">SUBTOTAL(109,ExpenseTable303[19])</f>
        <v>0</v>
      </c>
      <c r="X1003" s="73">
        <f ca="1">SUBTOTAL(109,ExpenseTable303[20])</f>
        <v>0</v>
      </c>
      <c r="Y1003" s="73">
        <f ca="1">SUBTOTAL(109,ExpenseTable303[21])</f>
        <v>-54981</v>
      </c>
      <c r="Z1003" s="73">
        <f ca="1">SUBTOTAL(109,ExpenseTable303[22])</f>
        <v>-37555.599999999999</v>
      </c>
      <c r="AA1003" s="73">
        <f ca="1">SUBTOTAL(109,ExpenseTable303[23])</f>
        <v>0</v>
      </c>
      <c r="AB1003" s="73">
        <f ca="1">SUBTOTAL(109,ExpenseTable303[24])</f>
        <v>-15855.8</v>
      </c>
      <c r="AC1003" s="73">
        <f ca="1">SUBTOTAL(109,ExpenseTable303[25])</f>
        <v>-1525997.6399999997</v>
      </c>
      <c r="AD1003" s="73">
        <f ca="1">SUBTOTAL(109,ExpenseTable303[26])</f>
        <v>-934936.2</v>
      </c>
      <c r="AE1003" s="73">
        <f ca="1">SUBTOTAL(109,ExpenseTable303[27])</f>
        <v>-95515.4</v>
      </c>
      <c r="AF1003" s="73">
        <f ca="1">SUBTOTAL(109,ExpenseTable303[28])</f>
        <v>-117599.5</v>
      </c>
      <c r="AG1003" s="73">
        <f ca="1">SUBTOTAL(109,ExpenseTable303[29])</f>
        <v>-215107.34</v>
      </c>
      <c r="AH1003" s="73">
        <f ca="1">SUBTOTAL(109,ExpenseTable303[30])</f>
        <v>-146606.70000000001</v>
      </c>
    </row>
    <row r="1004" spans="3:35" x14ac:dyDescent="0.25">
      <c r="AI1004" s="270">
        <f ca="1">MIN(D1005:AH1005)</f>
        <v>0.25421409503664599</v>
      </c>
    </row>
    <row r="1005" spans="3:35" x14ac:dyDescent="0.25">
      <c r="D1005" s="270" t="str">
        <f ca="1">IFERROR(IF(ExpenseTable303[[#Totals],[0]]&lt;&gt;0,-D996/ExpenseTable303[[#Totals],[0]],""),"")</f>
        <v/>
      </c>
      <c r="E1005" s="270">
        <f ca="1">IFERROR(IF(ExpenseTable303[[#Totals],[1]]&lt;&gt;0,-E996/ExpenseTable303[[#Totals],[1]],""),"")</f>
        <v>89.869272091074862</v>
      </c>
      <c r="F1005" s="270">
        <f ca="1">IFERROR(IF(ExpenseTable303[[#Totals],[2]]&lt;&gt;0,-F996/ExpenseTable303[[#Totals],[2]],""),"")</f>
        <v>0.78308147059820365</v>
      </c>
      <c r="G1005" s="270">
        <f ca="1">IFERROR(IF(ExpenseTable303[[#Totals],[3]]&lt;&gt;0,-G996/ExpenseTable303[[#Totals],[3]],""),"")</f>
        <v>0.30765960269103171</v>
      </c>
      <c r="H1005" s="270">
        <f ca="1">IFERROR(IF(ExpenseTable303[[#Totals],[4]]&lt;&gt;0,-H996/ExpenseTable303[[#Totals],[4]],""),"")</f>
        <v>14.414163923312779</v>
      </c>
      <c r="I1005" s="270">
        <f ca="1">IFERROR(IF(ExpenseTable303[[#Totals],[5]]&lt;&gt;0,-I996/ExpenseTable303[[#Totals],[5]],""),"")</f>
        <v>0.60617510480922054</v>
      </c>
      <c r="J1005" s="270">
        <f ca="1">IFERROR(IF(ExpenseTable303[[#Totals],[6]]&lt;&gt;0,-J996/ExpenseTable303[[#Totals],[6]],""),"")</f>
        <v>1.596009444885236</v>
      </c>
      <c r="K1005" s="270">
        <f ca="1">IFERROR(IF(ExpenseTable303[[#Totals],[7]]&lt;&gt;0,-K996/ExpenseTable303[[#Totals],[7]],""),"")</f>
        <v>8.1763848160286887</v>
      </c>
      <c r="L1005" s="270" t="str">
        <f ca="1">IFERROR(IF(ExpenseTable303[[#Totals],[8]]&lt;&gt;0,-L996/ExpenseTable303[[#Totals],[8]],""),"")</f>
        <v/>
      </c>
      <c r="M1005" s="270">
        <f ca="1">IFERROR(IF(ExpenseTable303[[#Totals],[9]]&lt;&gt;0,-M996/ExpenseTable303[[#Totals],[9]],""),"")</f>
        <v>5.7420133155251492</v>
      </c>
      <c r="N1005" s="270">
        <f ca="1">IFERROR(IF(ExpenseTable303[[#Totals],[10]]&lt;&gt;0,-N996/ExpenseTable303[[#Totals],[10]],""),"")</f>
        <v>27.446455827584103</v>
      </c>
      <c r="O1005" s="270">
        <f ca="1">IFERROR(IF(ExpenseTable303[[#Totals],[11]]&lt;&gt;0,-O996/ExpenseTable303[[#Totals],[11]],""),"")</f>
        <v>1.4108438363588112</v>
      </c>
      <c r="P1005" s="270">
        <f ca="1">IFERROR(IF(ExpenseTable303[[#Totals],[12]]&lt;&gt;0,-P996/ExpenseTable303[[#Totals],[12]],""),"")</f>
        <v>0.85487775307206848</v>
      </c>
      <c r="Q1005" s="270">
        <f ca="1">IFERROR(IF(ExpenseTable303[[#Totals],[13]]&lt;&gt;0,-Q996/ExpenseTable303[[#Totals],[13]],""),"")</f>
        <v>22.957614981847371</v>
      </c>
      <c r="R1005" s="270">
        <f ca="1">IFERROR(IF(ExpenseTable303[[#Totals],[14]]&lt;&gt;0,-R996/ExpenseTable303[[#Totals],[14]],""),"")</f>
        <v>2.1667954514908252</v>
      </c>
      <c r="S1005" s="270" t="str">
        <f ca="1">IFERROR(IF(ExpenseTable303[[#Totals],[15]]&lt;&gt;0,-S996/ExpenseTable303[[#Totals],[15]],""),"")</f>
        <v/>
      </c>
      <c r="T1005" s="270">
        <f ca="1">IFERROR(IF(ExpenseTable303[[#Totals],[16]]&lt;&gt;0,-T996/ExpenseTable303[[#Totals],[16]],""),"")</f>
        <v>1.2641090968666844</v>
      </c>
      <c r="U1005" s="270">
        <f ca="1">IFERROR(IF(ExpenseTable303[[#Totals],[17]]&lt;&gt;0,-U996/ExpenseTable303[[#Totals],[17]],""),"")</f>
        <v>0.91928945344349378</v>
      </c>
      <c r="V1005" s="270" t="str">
        <f ca="1">IFERROR(IF(ExpenseTable303[[#Totals],[18]]&lt;&gt;0,-V996/ExpenseTable303[[#Totals],[18]],""),"")</f>
        <v/>
      </c>
      <c r="W1005" s="270" t="str">
        <f ca="1">IFERROR(IF(ExpenseTable303[[#Totals],[19]]&lt;&gt;0,-W996/ExpenseTable303[[#Totals],[19]],""),"")</f>
        <v/>
      </c>
      <c r="X1005" s="270" t="str">
        <f ca="1">IFERROR(IF(ExpenseTable303[[#Totals],[20]]&lt;&gt;0,-X996/ExpenseTable303[[#Totals],[20]],""),"")</f>
        <v/>
      </c>
      <c r="Y1005" s="270">
        <f ca="1">IFERROR(IF(ExpenseTable303[[#Totals],[21]]&lt;&gt;0,-Y996/ExpenseTable303[[#Totals],[21]],""),"")</f>
        <v>23.098892344628148</v>
      </c>
      <c r="Z1005" s="270">
        <f ca="1">IFERROR(IF(ExpenseTable303[[#Totals],[22]]&lt;&gt;0,-Z996/ExpenseTable303[[#Totals],[22]],""),"")</f>
        <v>40.303459404190058</v>
      </c>
      <c r="AA1005" s="270" t="str">
        <f ca="1">IFERROR(IF(ExpenseTable303[[#Totals],[23]]&lt;&gt;0,-AA996/ExpenseTable303[[#Totals],[23]],""),"")</f>
        <v/>
      </c>
      <c r="AB1005" s="270">
        <f ca="1">IFERROR(IF(ExpenseTable303[[#Totals],[24]]&lt;&gt;0,-AB996/ExpenseTable303[[#Totals],[24]],""),"")</f>
        <v>133.08623973561728</v>
      </c>
      <c r="AC1005" s="270">
        <f ca="1">IFERROR(IF(ExpenseTable303[[#Totals],[25]]&lt;&gt;0,-AC996/ExpenseTable303[[#Totals],[25]],""),"")</f>
        <v>0.58368580438958007</v>
      </c>
      <c r="AD1005" s="270">
        <f ca="1">IFERROR(IF(ExpenseTable303[[#Totals],[26]]&lt;&gt;0,-AD996/ExpenseTable303[[#Totals],[26]],""),"")</f>
        <v>0.25421409503664599</v>
      </c>
      <c r="AE1005" s="270">
        <f ca="1">IFERROR(IF(ExpenseTable303[[#Totals],[27]]&lt;&gt;0,-AE996/ExpenseTable303[[#Totals],[27]],""),"")</f>
        <v>4.4384210294884454</v>
      </c>
      <c r="AF1005" s="270">
        <f ca="1">IFERROR(IF(ExpenseTable303[[#Totals],[28]]&lt;&gt;0,-AF996/ExpenseTable303[[#Totals],[28]],""),"")</f>
        <v>5.1232535852618479</v>
      </c>
      <c r="AG1005" s="270">
        <f ca="1">IFERROR(IF(ExpenseTable303[[#Totals],[29]]&lt;&gt;0,-AG996/ExpenseTable303[[#Totals],[29]],""),"")</f>
        <v>3.2385167330877724</v>
      </c>
      <c r="AH1005" s="270">
        <f ca="1">IFERROR(IF(ExpenseTable303[[#Totals],[30]]&lt;&gt;0,-AH996/ExpenseTable303[[#Totals],[30]],""),"")</f>
        <v>5.9513652513834678</v>
      </c>
    </row>
  </sheetData>
  <mergeCells count="107">
    <mergeCell ref="Q75:Q76"/>
    <mergeCell ref="R75:R76"/>
    <mergeCell ref="S75:S76"/>
    <mergeCell ref="K75:K76"/>
    <mergeCell ref="L75:L76"/>
    <mergeCell ref="M75:M76"/>
    <mergeCell ref="N75:N76"/>
    <mergeCell ref="O75:O76"/>
    <mergeCell ref="P75:P76"/>
    <mergeCell ref="K73:K74"/>
    <mergeCell ref="L73:L74"/>
    <mergeCell ref="M73:M74"/>
    <mergeCell ref="N73:N74"/>
    <mergeCell ref="O73:O74"/>
    <mergeCell ref="P73:P74"/>
    <mergeCell ref="Q73:Q74"/>
    <mergeCell ref="R73:R74"/>
    <mergeCell ref="S73:S74"/>
    <mergeCell ref="K71:K72"/>
    <mergeCell ref="L71:L72"/>
    <mergeCell ref="M71:M72"/>
    <mergeCell ref="N71:N72"/>
    <mergeCell ref="O71:O72"/>
    <mergeCell ref="P71:P72"/>
    <mergeCell ref="Q71:Q72"/>
    <mergeCell ref="R71:R72"/>
    <mergeCell ref="S71:S72"/>
    <mergeCell ref="Q67:Q68"/>
    <mergeCell ref="R67:R68"/>
    <mergeCell ref="S67:S68"/>
    <mergeCell ref="K69:K70"/>
    <mergeCell ref="L69:L70"/>
    <mergeCell ref="M69:M70"/>
    <mergeCell ref="N69:N70"/>
    <mergeCell ref="O69:O70"/>
    <mergeCell ref="P69:P70"/>
    <mergeCell ref="Q69:Q70"/>
    <mergeCell ref="K67:K68"/>
    <mergeCell ref="L67:L68"/>
    <mergeCell ref="M67:M68"/>
    <mergeCell ref="N67:N68"/>
    <mergeCell ref="O67:O68"/>
    <mergeCell ref="P67:P68"/>
    <mergeCell ref="R69:R70"/>
    <mergeCell ref="S69:S70"/>
    <mergeCell ref="K65:K66"/>
    <mergeCell ref="L65:L66"/>
    <mergeCell ref="M65:M66"/>
    <mergeCell ref="N65:N66"/>
    <mergeCell ref="O65:O66"/>
    <mergeCell ref="P65:P66"/>
    <mergeCell ref="Q65:Q66"/>
    <mergeCell ref="R65:R66"/>
    <mergeCell ref="S65:S66"/>
    <mergeCell ref="K63:K64"/>
    <mergeCell ref="L63:L64"/>
    <mergeCell ref="M63:M64"/>
    <mergeCell ref="N63:N64"/>
    <mergeCell ref="O63:O64"/>
    <mergeCell ref="P63:P64"/>
    <mergeCell ref="Q63:Q64"/>
    <mergeCell ref="R63:R64"/>
    <mergeCell ref="S63:S64"/>
    <mergeCell ref="Q59:Q60"/>
    <mergeCell ref="R59:R60"/>
    <mergeCell ref="S59:S60"/>
    <mergeCell ref="K61:K62"/>
    <mergeCell ref="L61:L62"/>
    <mergeCell ref="M61:M62"/>
    <mergeCell ref="N61:N62"/>
    <mergeCell ref="O61:O62"/>
    <mergeCell ref="P61:P62"/>
    <mergeCell ref="Q61:Q62"/>
    <mergeCell ref="K59:K60"/>
    <mergeCell ref="L59:L60"/>
    <mergeCell ref="M59:M60"/>
    <mergeCell ref="N59:N60"/>
    <mergeCell ref="O59:O60"/>
    <mergeCell ref="P59:P60"/>
    <mergeCell ref="R61:R62"/>
    <mergeCell ref="S61:S62"/>
    <mergeCell ref="K57:K58"/>
    <mergeCell ref="L57:L58"/>
    <mergeCell ref="M57:M58"/>
    <mergeCell ref="N57:N58"/>
    <mergeCell ref="O57:O58"/>
    <mergeCell ref="P57:P58"/>
    <mergeCell ref="Q57:Q58"/>
    <mergeCell ref="R57:R58"/>
    <mergeCell ref="S57:S58"/>
    <mergeCell ref="I20:J20"/>
    <mergeCell ref="K20:L20"/>
    <mergeCell ref="M20:N20"/>
    <mergeCell ref="O20:P20"/>
    <mergeCell ref="Q20:R20"/>
    <mergeCell ref="S20:T20"/>
    <mergeCell ref="K51:S53"/>
    <mergeCell ref="V51:Y51"/>
    <mergeCell ref="K54:K56"/>
    <mergeCell ref="L54:L56"/>
    <mergeCell ref="M54:M56"/>
    <mergeCell ref="N54:N56"/>
    <mergeCell ref="O54:O56"/>
    <mergeCell ref="P54:P56"/>
    <mergeCell ref="Q54:Q56"/>
    <mergeCell ref="R54:R56"/>
    <mergeCell ref="S54:S56"/>
  </mergeCells>
  <pageMargins left="0.7" right="0.7" top="0.75" bottom="0.75" header="0.3" footer="0.3"/>
  <pageSetup scale="36" fitToHeight="0" orientation="landscape" horizontalDpi="1200" verticalDpi="1200" r:id="rId1"/>
  <rowBreaks count="1" manualBreakCount="1">
    <brk id="82" max="16383" man="1"/>
  </rowBreaks>
  <colBreaks count="1" manualBreakCount="1">
    <brk id="20"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115</vt:i4>
      </vt:variant>
    </vt:vector>
  </HeadingPairs>
  <TitlesOfParts>
    <vt:vector size="119" baseType="lpstr">
      <vt:lpstr>Property Info</vt:lpstr>
      <vt:lpstr>Use Instructions</vt:lpstr>
      <vt:lpstr>Expenditures</vt:lpstr>
      <vt:lpstr>Funding Plan</vt:lpstr>
      <vt:lpstr>Beginning_Reserve_Balance_Date</vt:lpstr>
      <vt:lpstr>Expenditures!City_State</vt:lpstr>
      <vt:lpstr>'Funding Plan'!City_State</vt:lpstr>
      <vt:lpstr>Client_City</vt:lpstr>
      <vt:lpstr>Client_Long</vt:lpstr>
      <vt:lpstr>Client_State</vt:lpstr>
      <vt:lpstr>'Funding Plan'!contributions_year0</vt:lpstr>
      <vt:lpstr>'Funding Plan'!contributions_year1</vt:lpstr>
      <vt:lpstr>'Funding Plan'!contributions_year10</vt:lpstr>
      <vt:lpstr>'Funding Plan'!contributions_year11</vt:lpstr>
      <vt:lpstr>'Funding Plan'!contributions_year12</vt:lpstr>
      <vt:lpstr>'Funding Plan'!contributions_year13</vt:lpstr>
      <vt:lpstr>'Funding Plan'!contributions_year14</vt:lpstr>
      <vt:lpstr>'Funding Plan'!contributions_year15</vt:lpstr>
      <vt:lpstr>'Funding Plan'!contributions_year16</vt:lpstr>
      <vt:lpstr>'Funding Plan'!contributions_year17</vt:lpstr>
      <vt:lpstr>'Funding Plan'!contributions_year18</vt:lpstr>
      <vt:lpstr>'Funding Plan'!contributions_year19</vt:lpstr>
      <vt:lpstr>'Funding Plan'!contributions_year2</vt:lpstr>
      <vt:lpstr>'Funding Plan'!contributions_year20</vt:lpstr>
      <vt:lpstr>'Funding Plan'!contributions_year21</vt:lpstr>
      <vt:lpstr>'Funding Plan'!contributions_year22</vt:lpstr>
      <vt:lpstr>'Funding Plan'!contributions_year23</vt:lpstr>
      <vt:lpstr>'Funding Plan'!contributions_year24</vt:lpstr>
      <vt:lpstr>'Funding Plan'!contributions_year25</vt:lpstr>
      <vt:lpstr>'Funding Plan'!contributions_year26</vt:lpstr>
      <vt:lpstr>'Funding Plan'!contributions_year27</vt:lpstr>
      <vt:lpstr>'Funding Plan'!contributions_year28</vt:lpstr>
      <vt:lpstr>'Funding Plan'!contributions_year29</vt:lpstr>
      <vt:lpstr>'Funding Plan'!contributions_year3</vt:lpstr>
      <vt:lpstr>'Funding Plan'!contributions_year30</vt:lpstr>
      <vt:lpstr>'Funding Plan'!contributions_year4</vt:lpstr>
      <vt:lpstr>'Funding Plan'!contributions_year5</vt:lpstr>
      <vt:lpstr>'Funding Plan'!contributions_year6</vt:lpstr>
      <vt:lpstr>'Funding Plan'!contributions_year7</vt:lpstr>
      <vt:lpstr>'Funding Plan'!contributions_year8</vt:lpstr>
      <vt:lpstr>'Funding Plan'!contributions_year9</vt:lpstr>
      <vt:lpstr>Currency_Symbol</vt:lpstr>
      <vt:lpstr>Current_Fiscal_Year</vt:lpstr>
      <vt:lpstr>Date_of_Inspection</vt:lpstr>
      <vt:lpstr>Expenditures!expenditures0</vt:lpstr>
      <vt:lpstr>Expenditures!expenditures1</vt:lpstr>
      <vt:lpstr>Expenditures!expenditures10</vt:lpstr>
      <vt:lpstr>Expenditures!expenditures11</vt:lpstr>
      <vt:lpstr>Expenditures!expenditures12</vt:lpstr>
      <vt:lpstr>Expenditures!expenditures13</vt:lpstr>
      <vt:lpstr>Expenditures!expenditures14</vt:lpstr>
      <vt:lpstr>Expenditures!expenditures15</vt:lpstr>
      <vt:lpstr>Expenditures!expenditures16</vt:lpstr>
      <vt:lpstr>Expenditures!expenditures17</vt:lpstr>
      <vt:lpstr>Expenditures!expenditures18</vt:lpstr>
      <vt:lpstr>Expenditures!expenditures19</vt:lpstr>
      <vt:lpstr>Expenditures!expenditures2</vt:lpstr>
      <vt:lpstr>Expenditures!expenditures20</vt:lpstr>
      <vt:lpstr>Expenditures!expenditures21</vt:lpstr>
      <vt:lpstr>Expenditures!expenditures22</vt:lpstr>
      <vt:lpstr>Expenditures!expenditures23</vt:lpstr>
      <vt:lpstr>Expenditures!expenditures24</vt:lpstr>
      <vt:lpstr>Expenditures!expenditures25</vt:lpstr>
      <vt:lpstr>Expenditures!expenditures26</vt:lpstr>
      <vt:lpstr>Expenditures!expenditures27</vt:lpstr>
      <vt:lpstr>Expenditures!expenditures28</vt:lpstr>
      <vt:lpstr>Expenditures!expenditures29</vt:lpstr>
      <vt:lpstr>Expenditures!expenditures3</vt:lpstr>
      <vt:lpstr>Expenditures!expenditures30</vt:lpstr>
      <vt:lpstr>Expenditures!expenditures4</vt:lpstr>
      <vt:lpstr>Expenditures!expenditures5</vt:lpstr>
      <vt:lpstr>Expenditures!expenditures6</vt:lpstr>
      <vt:lpstr>Expenditures!expenditures7</vt:lpstr>
      <vt:lpstr>Expenditures!expenditures8</vt:lpstr>
      <vt:lpstr>Expenditures!expenditures9</vt:lpstr>
      <vt:lpstr>First_Year_of_Recommendation</vt:lpstr>
      <vt:lpstr>Fiscal_Year_Beginning</vt:lpstr>
      <vt:lpstr>'Funding Plan'!flatlineAmount</vt:lpstr>
      <vt:lpstr>'Funding Plan'!flatlineAmount2</vt:lpstr>
      <vt:lpstr>Frequency_of_Contributions_Number</vt:lpstr>
      <vt:lpstr>'Funding Plan'!Funding_Balance</vt:lpstr>
      <vt:lpstr>'Funding Plan'!Funding_Current_Contributions</vt:lpstr>
      <vt:lpstr>'Funding Plan'!Funding_DecreaseAmount</vt:lpstr>
      <vt:lpstr>'Funding Plan'!Funding_DecreaseAmount2</vt:lpstr>
      <vt:lpstr>'Funding Plan'!Funding_DecreaseYear</vt:lpstr>
      <vt:lpstr>'Funding Plan'!Funding_FlatBegin</vt:lpstr>
      <vt:lpstr>'Funding Plan'!Funding_FlatBegin2</vt:lpstr>
      <vt:lpstr>'Funding Plan'!Funding_FlatEnd</vt:lpstr>
      <vt:lpstr>'Funding Plan'!Funding_FlatEnd2</vt:lpstr>
      <vt:lpstr>'Funding Plan'!Funding_InitialFunding</vt:lpstr>
      <vt:lpstr>'Funding Plan'!Funding_Next_Contribitions</vt:lpstr>
      <vt:lpstr>'Funding Plan'!Funding_PhasedAmount</vt:lpstr>
      <vt:lpstr>'Funding Plan'!Funding_PhaseNumbers</vt:lpstr>
      <vt:lpstr>'Funding Plan'!FundingDecreaseYear2</vt:lpstr>
      <vt:lpstr>Inflation</vt:lpstr>
      <vt:lpstr>Interest</vt:lpstr>
      <vt:lpstr>Expenditures!Name1</vt:lpstr>
      <vt:lpstr>'Funding Plan'!Name1</vt:lpstr>
      <vt:lpstr>Expenditures!Name2</vt:lpstr>
      <vt:lpstr>'Funding Plan'!Name2</vt:lpstr>
      <vt:lpstr>Number_of_Buildings</vt:lpstr>
      <vt:lpstr>Number_of_Units</vt:lpstr>
      <vt:lpstr>Operating_Budget</vt:lpstr>
      <vt:lpstr>'Use Instructions'!Print_Area</vt:lpstr>
      <vt:lpstr>Property_Type</vt:lpstr>
      <vt:lpstr>Reference_Number</vt:lpstr>
      <vt:lpstr>Remaining_Budgeted_Months</vt:lpstr>
      <vt:lpstr>Remaining_Interest_Months</vt:lpstr>
      <vt:lpstr>Reserve_Balance_Projected?</vt:lpstr>
      <vt:lpstr>Expenditures!rngBlank</vt:lpstr>
      <vt:lpstr>Expenditures!rngComponent</vt:lpstr>
      <vt:lpstr>Rounded_by</vt:lpstr>
      <vt:lpstr>secondaryInflation</vt:lpstr>
      <vt:lpstr>secondaryInflationYear</vt:lpstr>
      <vt:lpstr>Expenditures!SheetName</vt:lpstr>
      <vt:lpstr>'Funding Plan'!SheetName</vt:lpstr>
      <vt:lpstr>Study_Length</vt:lpstr>
      <vt:lpstr>Expenditures!Total_Study_Expenditures</vt:lpstr>
      <vt:lpstr>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Keary Wass</dc:creator>
  <cp:keywords/>
  <dc:description/>
  <cp:lastModifiedBy>Rafaelina Dowd</cp:lastModifiedBy>
  <cp:revision/>
  <cp:lastPrinted>2025-04-02T15:18:16Z</cp:lastPrinted>
  <dcterms:created xsi:type="dcterms:W3CDTF">2022-12-15T15:46:39Z</dcterms:created>
  <dcterms:modified xsi:type="dcterms:W3CDTF">2025-04-02T15:19:40Z</dcterms:modified>
  <cp:category/>
  <cp:contentStatus/>
</cp:coreProperties>
</file>